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4111.xml" ContentType="application/vnd.openxmlformats-officedocument.spreadsheetml.revisionLog+xml"/>
  <Override PartName="/xl/revisions/revisionLog12211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41111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71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morgau-homes\для обмена\ФИНОТДЕЛ\"/>
    </mc:Choice>
  </mc:AlternateContent>
  <bookViews>
    <workbookView xWindow="120" yWindow="120" windowWidth="9720" windowHeight="7320" tabRatio="695" firstSheet="2" activeTab="2"/>
  </bookViews>
  <sheets>
    <sheet name="Консол" sheetId="1" state="hidden" r:id="rId1"/>
    <sheet name="Справка" sheetId="2" state="hidden" r:id="rId2"/>
    <sheet name="район" sheetId="3" r:id="rId3"/>
    <sheet name="Лист5" sheetId="24" state="hidden" r:id="rId4"/>
    <sheet name="Але" sheetId="4" state="hidden" r:id="rId5"/>
    <sheet name="Сун" sheetId="5" state="hidden" r:id="rId6"/>
    <sheet name="Иль" sheetId="6" state="hidden" r:id="rId7"/>
    <sheet name="Кад" sheetId="7" state="hidden" r:id="rId8"/>
    <sheet name="Мор" sheetId="8" state="hidden" r:id="rId9"/>
    <sheet name="Мос" sheetId="9" state="hidden" r:id="rId10"/>
    <sheet name="Ори" sheetId="10" state="hidden" r:id="rId11"/>
    <sheet name="Сят" sheetId="11" state="hidden" r:id="rId12"/>
    <sheet name="Тор" sheetId="12" state="hidden" r:id="rId13"/>
    <sheet name="Хор" sheetId="13" state="hidden" r:id="rId14"/>
    <sheet name="Чум" sheetId="14" state="hidden" r:id="rId15"/>
    <sheet name="Шать" sheetId="15" state="hidden" r:id="rId16"/>
    <sheet name="Юнг" sheetId="16" state="hidden" r:id="rId17"/>
    <sheet name="Юсь" sheetId="17" state="hidden" r:id="rId18"/>
    <sheet name="Яра" sheetId="18" state="hidden" r:id="rId19"/>
    <sheet name="Ярос" sheetId="19" state="hidden" r:id="rId20"/>
    <sheet name="Лист1" sheetId="20" state="hidden" r:id="rId21"/>
    <sheet name="Лист2" sheetId="21" state="hidden" r:id="rId22"/>
    <sheet name="Лист3" sheetId="22" state="hidden" r:id="rId23"/>
    <sheet name="Лист4" sheetId="23" state="hidden" r:id="rId24"/>
    <sheet name="Лист6" sheetId="25" state="hidden" r:id="rId25"/>
  </sheets>
  <definedNames>
    <definedName name="Z_1718F1EE_9F48_4DBE_9531_3B70F9C4A5DD_.wvu.Cols" localSheetId="1" hidden="1">Справка!$BB:$BD,Справка!$BH:$BJ,Справка!$BN:$BV,Справка!$BZ:$CE,Справка!$DD:$DL</definedName>
    <definedName name="Z_1718F1EE_9F48_4DBE_9531_3B70F9C4A5DD_.wvu.PrintArea" localSheetId="6" hidden="1">Иль!$A$1:$F$103</definedName>
    <definedName name="Z_1718F1EE_9F48_4DBE_9531_3B70F9C4A5DD_.wvu.PrintArea" localSheetId="0" hidden="1">Консол!$A$1:$H$52</definedName>
    <definedName name="Z_1718F1EE_9F48_4DBE_9531_3B70F9C4A5DD_.wvu.PrintArea" localSheetId="8" hidden="1">Мор!$A$1:$F$101</definedName>
    <definedName name="Z_1718F1EE_9F48_4DBE_9531_3B70F9C4A5DD_.wvu.PrintArea" localSheetId="1" hidden="1">Справка!$A$1:$FE$31</definedName>
    <definedName name="Z_1718F1EE_9F48_4DBE_9531_3B70F9C4A5DD_.wvu.PrintArea" localSheetId="12" hidden="1">Тор!$A$1:$F$101</definedName>
    <definedName name="Z_1718F1EE_9F48_4DBE_9531_3B70F9C4A5DD_.wvu.PrintArea" localSheetId="16" hidden="1">Юнг!$A$1:$F$100</definedName>
    <definedName name="Z_1718F1EE_9F48_4DBE_9531_3B70F9C4A5DD_.wvu.PrintArea" localSheetId="18" hidden="1">Яра!$A$1:$F$102</definedName>
    <definedName name="Z_1718F1EE_9F48_4DBE_9531_3B70F9C4A5DD_.wvu.Rows" localSheetId="4" hidden="1">Але!$19:$24,Але!$28:$28,Але!$46:$46,Але!$53:$53,Але!$55:$57,Але!$63:$64,Але!$70:$70,Але!$72:$72,Але!$74:$74,Але!$79:$83,Але!$86:$93,Але!$142:$142</definedName>
    <definedName name="Z_1718F1EE_9F48_4DBE_9531_3B70F9C4A5DD_.wvu.Rows" localSheetId="6" hidden="1">Иль!$19:$24,Иль!$57:$57,Иль!$59:$61,Иль!$67:$68,Иль!$77:$78,Иль!$80:$80,Иль!$85:$89,Иль!$92:$99,Иль!$142:$142</definedName>
    <definedName name="Z_1718F1EE_9F48_4DBE_9531_3B70F9C4A5DD_.wvu.Rows" localSheetId="7" hidden="1">Кад!$19:$24,Кад!$29:$35,Кад!$38:$38,Кад!$42:$42,Кад!$44:$44,Кад!$46:$49,Кад!$56:$56,Кад!$58:$60,Кад!$66:$67,Кад!$77:$78,Кад!$82:$86,Кад!$89:$96,Кад!$142:$142</definedName>
    <definedName name="Z_1718F1EE_9F48_4DBE_9531_3B70F9C4A5DD_.wvu.Rows" localSheetId="0" hidden="1">Консол!$22:$22,Консол!$45:$47</definedName>
    <definedName name="Z_1718F1EE_9F48_4DBE_9531_3B70F9C4A5DD_.wvu.Rows" localSheetId="20" hidden="1">Лист1!$82:$84</definedName>
    <definedName name="Z_1718F1EE_9F48_4DBE_9531_3B70F9C4A5DD_.wvu.Rows" localSheetId="8" hidden="1">Мор!$17:$24,Мор!$27:$27,Мор!$31:$35,Мор!$37:$37,Мор!$44:$44,Мор!$46:$47,Мор!$49:$50,Мор!$57:$57,Мор!$59:$61,Мор!$64:$65,Мор!$67:$68,Мор!$78:$79,Мор!$83:$88,Мор!$91:$97,Мор!$142:$142</definedName>
    <definedName name="Z_1718F1EE_9F48_4DBE_9531_3B70F9C4A5DD_.wvu.Rows" localSheetId="9" hidden="1">Мос!$19:$24,Мос!$29:$35,Мос!$44:$44,Мос!$46:$50,Мос!$58:$58,Мос!$60:$62,Мос!$68:$69,Мос!$79:$80,Мос!$82:$82,Мос!$85:$92,Мос!$95:$102,Мос!$143:$143</definedName>
    <definedName name="Z_1718F1EE_9F48_4DBE_9531_3B70F9C4A5DD_.wvu.Rows" localSheetId="10" hidden="1">Ори!$19:$24,Ори!$32:$36,Ори!$45:$45,Ори!$47:$47,Ори!$49:$51,Ори!$58:$58,Ори!$60:$62,Ори!$68:$69,Ори!$79:$80,Ори!$82:$82,Ори!$85:$89,Ори!$92:$99,Ори!$143:$143</definedName>
    <definedName name="Z_1718F1EE_9F48_4DBE_9531_3B70F9C4A5DD_.wvu.Rows" localSheetId="5" hidden="1">Сун!$19:$24,Сун!$35:$35,Сун!$44:$44,Сун!$46:$46,Сун!$50:$52,Сун!$59:$59,Сун!$61:$63,Сун!$69:$70,Сун!$80:$80,Сун!$83:$83,Сун!$86:$91,Сун!$94:$101,Сун!$143:$143</definedName>
    <definedName name="Z_1718F1EE_9F48_4DBE_9531_3B70F9C4A5DD_.wvu.Rows" localSheetId="11" hidden="1">Сят!$19:$24,Сят!$31:$35,Сят!$38:$38,Сят!$45:$48,Сят!$57:$57,Сят!$59:$61,Сят!$67:$68,Сят!$78:$79,Сят!$83:$87,Сят!$90:$97,Сят!$143:$143</definedName>
    <definedName name="Z_1718F1EE_9F48_4DBE_9531_3B70F9C4A5DD_.wvu.Rows" localSheetId="12" hidden="1">Тор!$19:$24,Тор!$32:$36,Тор!$39:$39,Тор!$46:$47,Тор!$50:$50,Тор!$57:$57,Тор!$59:$61,Тор!$67:$68,Тор!$75:$75,Тор!$79:$80,Тор!$84:$95,Тор!$142:$142</definedName>
    <definedName name="Z_1718F1EE_9F48_4DBE_9531_3B70F9C4A5DD_.wvu.Rows" localSheetId="13" hidden="1">Хор!$19:$22,Хор!$26:$35,Хор!$39:$39,Хор!$43:$43,Хор!$45:$47,Хор!$54:$54,Хор!$56:$58,Хор!$64:$65,Хор!$71:$71,Хор!$75:$76,Хор!$80:$84,Хор!$87:$94,Хор!$141:$141</definedName>
    <definedName name="Z_1718F1EE_9F48_4DBE_9531_3B70F9C4A5DD_.wvu.Rows" localSheetId="14" hidden="1">Чум!$19:$24,Чум!$31:$39,Чум!$46:$49,Чум!$57:$57,Чум!$59:$61,Чум!$67:$68,Чум!$78:$79,Чум!$83:$87,Чум!$90:$97,Чум!$142:$142</definedName>
    <definedName name="Z_1718F1EE_9F48_4DBE_9531_3B70F9C4A5DD_.wvu.Rows" localSheetId="15" hidden="1">Шать!$19:$19,Шать!$22:$25,Шать!$46:$49,Шать!$57:$57,Шать!$59:$61,Шать!$67:$68,Шать!$78:$79,Шать!$83:$87,Шать!$90:$97,Шать!$142:$142</definedName>
    <definedName name="Z_1718F1EE_9F48_4DBE_9531_3B70F9C4A5DD_.wvu.Rows" localSheetId="16" hidden="1">Юнг!$19:$24,Юнг!$31:$35,Юнг!$38:$38,Юнг!$45:$47,Юнг!$49:$49,Юнг!$56:$56,Юнг!$58:$60,Юнг!$66:$68,Юнг!$77:$78,Юнг!$82:$86,Юнг!$89:$96,Юнг!$142:$142</definedName>
    <definedName name="Z_1718F1EE_9F48_4DBE_9531_3B70F9C4A5DD_.wvu.Rows" localSheetId="17" hidden="1">Юсь!$19:$24,Юсь!$31:$33,Юсь!$38:$38,Юсь!$45:$51,Юсь!$59:$59,Юсь!$61:$63,Юсь!$69:$70,Юсь!$80:$81,Юсь!$85:$89,Юсь!$92:$99,Юсь!$143:$143</definedName>
    <definedName name="Z_1718F1EE_9F48_4DBE_9531_3B70F9C4A5DD_.wvu.Rows" localSheetId="18" hidden="1">Яра!$19:$24,Яра!$30:$39,Яра!$46:$50,Яра!$58:$58,Яра!$60:$62,Яра!$68:$69,Яра!$79:$80,Яра!$84:$88,Яра!$91:$98,Яра!$143:$143</definedName>
    <definedName name="Z_1718F1EE_9F48_4DBE_9531_3B70F9C4A5DD_.wvu.Rows" localSheetId="19" hidden="1">Ярос!$19:$24,Ярос!$28:$33,Ярос!$44:$45,Ярос!$47:$48,Ярос!$55:$55,Ярос!$57:$58,Ярос!$65:$66,Ярос!$76:$77,Ярос!$81:$85,Ярос!$88:$95</definedName>
    <definedName name="Z_1A52382B_3765_4E8C_903F_6B8919B7242E_.wvu.Cols" localSheetId="1" hidden="1">Справка!$BB:$BD,Справка!$BH:$BJ,Справка!$BN:$BS,Справка!$BZ:$CE,Справка!$DD:$DL</definedName>
    <definedName name="Z_1A52382B_3765_4E8C_903F_6B8919B7242E_.wvu.PrintArea" localSheetId="6" hidden="1">Иль!$A$1:$F$103</definedName>
    <definedName name="Z_1A52382B_3765_4E8C_903F_6B8919B7242E_.wvu.PrintArea" localSheetId="0" hidden="1">Консол!$A$1:$H$52</definedName>
    <definedName name="Z_1A52382B_3765_4E8C_903F_6B8919B7242E_.wvu.PrintArea" localSheetId="8" hidden="1">Мор!$A$1:$F$101</definedName>
    <definedName name="Z_1A52382B_3765_4E8C_903F_6B8919B7242E_.wvu.PrintArea" localSheetId="1" hidden="1">Справка!$A$1:$FE$31</definedName>
    <definedName name="Z_1A52382B_3765_4E8C_903F_6B8919B7242E_.wvu.PrintArea" localSheetId="12" hidden="1">Тор!$A$1:$F$101</definedName>
    <definedName name="Z_1A52382B_3765_4E8C_903F_6B8919B7242E_.wvu.PrintArea" localSheetId="13" hidden="1">Хор!$A$1:$F$98</definedName>
    <definedName name="Z_1A52382B_3765_4E8C_903F_6B8919B7242E_.wvu.PrintArea" localSheetId="14" hidden="1">Чум!$A$1:$F$101</definedName>
    <definedName name="Z_1A52382B_3765_4E8C_903F_6B8919B7242E_.wvu.PrintArea" localSheetId="15" hidden="1">Шать!$A$1:$F$101</definedName>
    <definedName name="Z_1A52382B_3765_4E8C_903F_6B8919B7242E_.wvu.PrintArea" localSheetId="16" hidden="1">Юнг!$A$1:$F$100</definedName>
    <definedName name="Z_1A52382B_3765_4E8C_903F_6B8919B7242E_.wvu.PrintArea" localSheetId="18" hidden="1">Яра!$A$1:$F$102</definedName>
    <definedName name="Z_1A52382B_3765_4E8C_903F_6B8919B7242E_.wvu.Rows" localSheetId="4" hidden="1">Але!$19:$24,Але!$44:$44,Але!$46:$46,Але!$53:$53,Але!$55:$56,Але!$63:$64,Але!$74:$75,Але!$79:$83,Але!$87:$89</definedName>
    <definedName name="Z_1A52382B_3765_4E8C_903F_6B8919B7242E_.wvu.Rows" localSheetId="6" hidden="1">Иль!$19:$24,Иль!$30:$31,Иль!$34:$34,Иль!$46:$46,Иль!#REF!,Иль!$59:$60,Иль!$67:$68,Иль!$77:$78,Иль!$80:$80,Иль!$92:$96</definedName>
    <definedName name="Z_1A52382B_3765_4E8C_903F_6B8919B7242E_.wvu.Rows" localSheetId="7" hidden="1">Кад!$19:$24,Кад!$44:$44,Кад!$56:$56,Кад!$58:$59,Кад!$66:$67,Кад!$83:$85,Кад!$89:$96</definedName>
    <definedName name="Z_1A52382B_3765_4E8C_903F_6B8919B7242E_.wvu.Rows" localSheetId="0" hidden="1">Консол!$22:$22,Консол!$45:$47,Консол!$84:$86</definedName>
    <definedName name="Z_1A52382B_3765_4E8C_903F_6B8919B7242E_.wvu.Rows" localSheetId="20" hidden="1">Лист1!$82:$84</definedName>
    <definedName name="Z_1A52382B_3765_4E8C_903F_6B8919B7242E_.wvu.Rows" localSheetId="8" hidden="1">Мор!$17:$17,Мор!$21:$21,Мор!$23:$23,Мор!$37:$37,Мор!$44:$44,Мор!$46:$47,Мор!$49:$50,Мор!$57:$57,Мор!$59:$60,Мор!$67:$68,Мор!$83:$88,Мор!$91:$97</definedName>
    <definedName name="Z_1A52382B_3765_4E8C_903F_6B8919B7242E_.wvu.Rows" localSheetId="9" hidden="1">Мос!$19:$24,Мос!$44:$44,Мос!$58:$58,Мос!$60:$61,Мос!$68:$69,Мос!$82:$82,Мос!$86:$90,Мос!$95:$100</definedName>
    <definedName name="Z_1A52382B_3765_4E8C_903F_6B8919B7242E_.wvu.Rows" localSheetId="10" hidden="1">Ори!$19:$24,Ори!$33:$33,Ори!$45:$45,Ори!$49:$51,Ори!$58:$58,Ори!$60:$61,Ори!$68:$69,Ори!$79:$80,Ори!$82:$82,Ори!$85:$89,Ори!$92:$99</definedName>
    <definedName name="Z_1A52382B_3765_4E8C_903F_6B8919B7242E_.wvu.Rows" localSheetId="2" hidden="1">район!$19:$19,район!$23:$23,район!$33:$35,район!$57:$58,район!#REF!,район!#REF!,район!#REF!,район!#REF!,район!#REF!,район!#REF!</definedName>
    <definedName name="Z_1A52382B_3765_4E8C_903F_6B8919B7242E_.wvu.Rows" localSheetId="1" hidden="1">Справка!#REF!</definedName>
    <definedName name="Z_1A52382B_3765_4E8C_903F_6B8919B7242E_.wvu.Rows" localSheetId="5" hidden="1">Сун!$19:$24,Сун!$50:$52,Сун!$59:$59,Сун!$61:$62,Сун!$69:$70,Сун!$80:$81,Сун!$83:$83,Сун!$89:$90,Сун!$94:$98</definedName>
    <definedName name="Z_1A52382B_3765_4E8C_903F_6B8919B7242E_.wvu.Rows" localSheetId="11" hidden="1">Сят!$19:$19,Сят!$45:$47,Сят!$57:$57,Сят!$59:$60,Сят!$67:$68,Сят!$83:$86,Сят!$90:$97</definedName>
    <definedName name="Z_1A52382B_3765_4E8C_903F_6B8919B7242E_.wvu.Rows" localSheetId="12" hidden="1">Тор!$19:$24,Тор!$32:$39,Тор!$46:$47,Тор!$49:$50,Тор!$57:$57,Тор!$59:$60,Тор!$67:$68,Тор!$75:$75,Тор!$79:$80,Тор!$84:$95</definedName>
    <definedName name="Z_1A52382B_3765_4E8C_903F_6B8919B7242E_.wvu.Rows" localSheetId="13" hidden="1">Хор!$19:$22,Хор!$26:$35,Хор!$39:$39,Хор!$45:$47,Хор!$54:$54,Хор!$56:$58,Хор!$64:$65,Хор!$71:$71,Хор!$75:$76,Хор!$80:$84,Хор!$87:$94</definedName>
    <definedName name="Z_1A52382B_3765_4E8C_903F_6B8919B7242E_.wvu.Rows" localSheetId="14" hidden="1">Чум!$19:$21,Чум!$23:$24,Чум!$28:$28,Чум!$31:$39,Чум!$47:$49,Чум!$57:$57,Чум!$59:$60,Чум!$67:$68,Чум!$78:$79,Чум!$83:$87,Чум!$90:$97</definedName>
    <definedName name="Z_1A52382B_3765_4E8C_903F_6B8919B7242E_.wvu.Rows" localSheetId="15" hidden="1">Шать!$19:$24,Шать!$31:$39,Шать!$46:$49,Шать!$57:$57,Шать!$59:$60,Шать!$67:$68,Шать!$78:$79,Шать!$83:$87,Шать!$90:$97</definedName>
    <definedName name="Z_1A52382B_3765_4E8C_903F_6B8919B7242E_.wvu.Rows" localSheetId="16" hidden="1">Юнг!$19:$24,Юнг!$31:$38,Юнг!$45:$49,Юнг!$56:$56,Юнг!$58:$59,Юнг!$66:$67,Юнг!$77:$77,Юнг!$82:$86,Юнг!$89:$96</definedName>
    <definedName name="Z_1A52382B_3765_4E8C_903F_6B8919B7242E_.wvu.Rows" localSheetId="17" hidden="1">Юсь!$20:$24,Юсь!$38:$38,Юсь!#REF!,Юсь!$45:$50,Юсь!$59:$59,Юсь!$61:$62,Юсь!$69:$70,Юсь!$80:$81,Юсь!$85:$89,Юсь!$92:$99</definedName>
    <definedName name="Z_1A52382B_3765_4E8C_903F_6B8919B7242E_.wvu.Rows" localSheetId="18" hidden="1">Яра!$19:$24,Яра!$46:$46,Яра!$48:$51,Яра!$58:$58,Яра!$60:$61,Яра!$68:$69,Яра!$79:$80,Яра!$84:$88,Яра!$91:$98</definedName>
    <definedName name="Z_1A52382B_3765_4E8C_903F_6B8919B7242E_.wvu.Rows" localSheetId="19" hidden="1">Ярос!$19:$24,Ярос!$44:$44,Ярос!$55:$55,Ярос!$57:$59,Ярос!$65:$66,Ярос!$76:$77,Ярос!$81:$85,Ярос!$88:$95</definedName>
    <definedName name="Z_3DCB9AAA_F09C_4EA6_B992_F93E466D374A_.wvu.Cols" localSheetId="1" hidden="1">Справка!$BB:$BD,Справка!$BH:$BJ,Справка!$BN:$BS,Справка!$BZ:$CE,Справка!$DD:$DL</definedName>
    <definedName name="Z_3DCB9AAA_F09C_4EA6_B992_F93E466D374A_.wvu.PrintArea" localSheetId="6" hidden="1">Иль!$A$1:$F$103</definedName>
    <definedName name="Z_3DCB9AAA_F09C_4EA6_B992_F93E466D374A_.wvu.PrintArea" localSheetId="0" hidden="1">Консол!$A$1:$H$52</definedName>
    <definedName name="Z_3DCB9AAA_F09C_4EA6_B992_F93E466D374A_.wvu.PrintArea" localSheetId="8" hidden="1">Мор!$A$1:$F$101</definedName>
    <definedName name="Z_3DCB9AAA_F09C_4EA6_B992_F93E466D374A_.wvu.PrintArea" localSheetId="2" hidden="1">район!$A$1:$G$202</definedName>
    <definedName name="Z_3DCB9AAA_F09C_4EA6_B992_F93E466D374A_.wvu.PrintArea" localSheetId="1" hidden="1">Справка!$A$1:$FE$31</definedName>
    <definedName name="Z_3DCB9AAA_F09C_4EA6_B992_F93E466D374A_.wvu.PrintArea" localSheetId="12" hidden="1">Тор!$A$1:$F$101</definedName>
    <definedName name="Z_3DCB9AAA_F09C_4EA6_B992_F93E466D374A_.wvu.PrintArea" localSheetId="16" hidden="1">Юнг!$A$1:$F$100</definedName>
    <definedName name="Z_3DCB9AAA_F09C_4EA6_B992_F93E466D374A_.wvu.PrintArea" localSheetId="18" hidden="1">Яра!$A$1:$F$102</definedName>
    <definedName name="Z_3DCB9AAA_F09C_4EA6_B992_F93E466D374A_.wvu.Rows" localSheetId="4" hidden="1">Але!$19:$24,Але!$44:$44,Але!$46:$46,Але!$53:$53,Але!$55:$56,Але!$63:$64,Але!$74:$75,Але!$79:$93</definedName>
    <definedName name="Z_3DCB9AAA_F09C_4EA6_B992_F93E466D374A_.wvu.Rows" localSheetId="7" hidden="1">Кад!$19:$24,Кад!$44:$44,Кад!$56:$56,Кад!$58:$59,Кад!$66:$67,Кад!$83:$85,Кад!$89:$96</definedName>
    <definedName name="Z_3DCB9AAA_F09C_4EA6_B992_F93E466D374A_.wvu.Rows" localSheetId="0" hidden="1">Консол!$22:$22,Консол!$45:$47,Консол!$84:$86</definedName>
    <definedName name="Z_3DCB9AAA_F09C_4EA6_B992_F93E466D374A_.wvu.Rows" localSheetId="20" hidden="1">Лист1!$82:$84</definedName>
    <definedName name="Z_3DCB9AAA_F09C_4EA6_B992_F93E466D374A_.wvu.Rows" localSheetId="8" hidden="1">Мор!$21:$21,Мор!$23:$23,Мор!$37:$37,Мор!$44:$44,Мор!$47:$47,Мор!$49:$50,Мор!$57:$57,Мор!$59:$60,Мор!$67:$68,Мор!$83:$88,Мор!$91:$97</definedName>
    <definedName name="Z_3DCB9AAA_F09C_4EA6_B992_F93E466D374A_.wvu.Rows" localSheetId="9" hidden="1">Мос!$19:$24,Мос!$44:$44,Мос!$58:$58,Мос!$60:$61,Мос!$68:$69,Мос!$82:$82,Мос!$84:$90,Мос!$95:$100</definedName>
    <definedName name="Z_3DCB9AAA_F09C_4EA6_B992_F93E466D374A_.wvu.Rows" localSheetId="10" hidden="1">Ори!$19:$24,Ори!$33:$33,Ори!$45:$45,Ори!$49:$51,Ори!$58:$58,Ори!$60:$61,Ори!$68:$69,Ори!$79:$80,Ори!$82:$82,Ори!$84:$88,Ори!$92:$99</definedName>
    <definedName name="Z_3DCB9AAA_F09C_4EA6_B992_F93E466D374A_.wvu.Rows" localSheetId="2" hidden="1">район!#REF!</definedName>
    <definedName name="Z_3DCB9AAA_F09C_4EA6_B992_F93E466D374A_.wvu.Rows" localSheetId="5" hidden="1">Сун!$19:$24,Сун!$50:$52,Сун!$59:$59,Сун!$61:$62,Сун!$69:$70,Сун!$80:$81,Сун!$83:$86,Сун!$89:$90,Сун!$94:$98</definedName>
    <definedName name="Z_3DCB9AAA_F09C_4EA6_B992_F93E466D374A_.wvu.Rows" localSheetId="11" hidden="1">Сят!$19:$19,Сят!$45:$47,Сят!$57:$57,Сят!$59:$60,Сят!$67:$68,Сят!$83:$86,Сят!$90:$97</definedName>
    <definedName name="Z_3DCB9AAA_F09C_4EA6_B992_F93E466D374A_.wvu.Rows" localSheetId="12" hidden="1">Тор!$19:$19,Тор!$50:$50,Тор!$57:$57,Тор!$59:$60,Тор!$67:$68,Тор!$75:$75,Тор!$79:$80,Тор!$83:$93</definedName>
    <definedName name="Z_3DCB9AAA_F09C_4EA6_B992_F93E466D374A_.wvu.Rows" localSheetId="13" hidden="1">Хор!$19:$22,Хор!$30:$30,Хор!$39:$39,Хор!$43:$43,Хор!$54:$54,Хор!$56:$57,Хор!$64:$65,Хор!$80:$84,Хор!$87:$94</definedName>
    <definedName name="Z_3DCB9AAA_F09C_4EA6_B992_F93E466D374A_.wvu.Rows" localSheetId="14" hidden="1">Чум!$19:$19,Чум!$21:$21,Чум!$23:$24,Чум!$47:$49,Чум!$57:$57,Чум!$59:$60,Чум!$67:$68,Чум!$83:$87,Чум!$90:$97</definedName>
    <definedName name="Z_3DCB9AAA_F09C_4EA6_B992_F93E466D374A_.wvu.Rows" localSheetId="15" hidden="1">Шать!$19:$24,Шать!$47:$49,Шать!$57:$57,Шать!$59:$60,Шать!$67:$68,Шать!$78:$79,Шать!$83:$87,Шать!$90:$97</definedName>
    <definedName name="Z_3DCB9AAA_F09C_4EA6_B992_F93E466D374A_.wvu.Rows" localSheetId="16" hidden="1">Юнг!$19:$24,Юнг!$32:$32,Юнг!$46:$46,Юнг!$49:$49,Юнг!$56:$56,Юнг!$58:$59,Юнг!$66:$67,Юнг!$82:$86,Юнг!$89:$96</definedName>
    <definedName name="Z_3DCB9AAA_F09C_4EA6_B992_F93E466D374A_.wvu.Rows" localSheetId="18" hidden="1">Яра!$19:$24,Яра!$46:$50,Яра!$58:$58,Яра!$60:$61,Яра!$68:$69,Яра!$79:$79,Яра!$82:$88,Яра!$91:$98</definedName>
    <definedName name="Z_3DCB9AAA_F09C_4EA6_B992_F93E466D374A_.wvu.Rows" localSheetId="19" hidden="1">Ярос!$19:$24,Ярос!$29:$30,Ярос!$32:$32,Ярос!$44:$44,Ярос!$55:$55,Ярос!$57:$58,Ярос!$65:$66,Ярос!$76:$77,Ярос!$81:$86,Ярос!$88:$95</definedName>
    <definedName name="Z_42584DC0_1D41_4C93_9B38_C388E7B8DAC4_.wvu.Cols" localSheetId="1" hidden="1">Справка!$BB:$BD,Справка!$BH:$BJ,Справка!$BN:$BV,Справка!$BZ:$CE,Справка!$DD:$DL</definedName>
    <definedName name="Z_42584DC0_1D41_4C93_9B38_C388E7B8DAC4_.wvu.PrintArea" localSheetId="6" hidden="1">Иль!$A$1:$F$103</definedName>
    <definedName name="Z_42584DC0_1D41_4C93_9B38_C388E7B8DAC4_.wvu.PrintArea" localSheetId="0" hidden="1">Консол!$A$1:$H$52</definedName>
    <definedName name="Z_42584DC0_1D41_4C93_9B38_C388E7B8DAC4_.wvu.PrintArea" localSheetId="8" hidden="1">Мор!$A$1:$F$101</definedName>
    <definedName name="Z_42584DC0_1D41_4C93_9B38_C388E7B8DAC4_.wvu.PrintArea" localSheetId="1" hidden="1">Справка!$A$1:$FE$31</definedName>
    <definedName name="Z_42584DC0_1D41_4C93_9B38_C388E7B8DAC4_.wvu.PrintArea" localSheetId="12" hidden="1">Тор!$A$1:$F$101</definedName>
    <definedName name="Z_42584DC0_1D41_4C93_9B38_C388E7B8DAC4_.wvu.PrintArea" localSheetId="16" hidden="1">Юнг!$A$1:$F$100</definedName>
    <definedName name="Z_42584DC0_1D41_4C93_9B38_C388E7B8DAC4_.wvu.PrintArea" localSheetId="18" hidden="1">Яра!$A$1:$F$102</definedName>
    <definedName name="Z_42584DC0_1D41_4C93_9B38_C388E7B8DAC4_.wvu.Rows" localSheetId="4" hidden="1">Але!$19:$24,Але!$31:$33,Але!$36:$36,Але!$44:$44,Але!$46:$46,Але!$53:$53,Але!$55:$57,Але!$63:$64,Але!$74:$75,Але!$79:$83,Але!$86:$93</definedName>
    <definedName name="Z_42584DC0_1D41_4C93_9B38_C388E7B8DAC4_.wvu.Rows" localSheetId="6" hidden="1">Иль!$19:$24,Иль!$30:$40,Иль!$46:$46,Иль!$48:$50,Иль!$57:$57,Иль!$59:$61,Иль!$67:$68,Иль!$77:$78,Иль!$80:$80,Иль!$85:$89,Иль!$92:$99</definedName>
    <definedName name="Z_42584DC0_1D41_4C93_9B38_C388E7B8DAC4_.wvu.Rows" localSheetId="7" hidden="1">Кад!$19:$24,Кад!$31:$35,Кад!$38:$38,Кад!$44:$44,Кад!$46:$46,Кад!$48:$49,Кад!$56:$56,Кад!$58:$60,Кад!$66:$67,Кад!$77:$78,Кад!$82:$86,Кад!$89:$96</definedName>
    <definedName name="Z_42584DC0_1D41_4C93_9B38_C388E7B8DAC4_.wvu.Rows" localSheetId="0" hidden="1">Консол!$22:$22,Консол!$45:$47</definedName>
    <definedName name="Z_42584DC0_1D41_4C93_9B38_C388E7B8DAC4_.wvu.Rows" localSheetId="8" hidden="1">Мор!$17:$24,Мор!$37:$37,Мор!$44:$44,Мор!$46:$47,Мор!$49:$50,Мор!$57:$57,Мор!$59:$60,Мор!$64:$65,Мор!$67:$68,Мор!$78:$79,Мор!$83:$88,Мор!$91:$97</definedName>
    <definedName name="Z_42584DC0_1D41_4C93_9B38_C388E7B8DAC4_.wvu.Rows" localSheetId="9" hidden="1">Мос!$19:$24,Мос!$29:$35,Мос!$44:$44,Мос!$46:$50,Мос!$58:$58,Мос!$60:$61,Мос!$68:$69,Мос!$79:$80,Мос!$82:$82,Мос!$85:$92,Мос!$95:$102</definedName>
    <definedName name="Z_42584DC0_1D41_4C93_9B38_C388E7B8DAC4_.wvu.Rows" localSheetId="10" hidden="1">Ори!$19:$24,Ори!$32:$36,Ори!$39:$39,Ори!$45:$45,Ори!$47:$47,Ори!$49:$51,Ори!$58:$58,Ори!$60:$62,Ори!$68:$69,Ори!$79:$80,Ори!$82:$82,Ори!$85:$89,Ори!$92:$99</definedName>
    <definedName name="Z_42584DC0_1D41_4C93_9B38_C388E7B8DAC4_.wvu.Rows" localSheetId="2" hidden="1">район!$19:$19,район!$23:$23,район!$30:$30,район!$32:$36,район!$40:$40,район!$44:$44,район!$52:$52,район!$57:$58,район!#REF!,район!#REF!,район!$65:$67,район!#REF!,район!#REF!,район!$87:$87,район!#REF!,район!$96:$96,район!#REF!,район!$133:$133,район!#REF!,район!$197:$198</definedName>
    <definedName name="Z_42584DC0_1D41_4C93_9B38_C388E7B8DAC4_.wvu.Rows" localSheetId="1" hidden="1">Справка!#REF!</definedName>
    <definedName name="Z_42584DC0_1D41_4C93_9B38_C388E7B8DAC4_.wvu.Rows" localSheetId="5" hidden="1">Сун!$19:$24,Сун!$35:$40,Сун!$50:$52,Сун!$59:$59,Сун!$61:$64,Сун!$69:$70,Сун!$80:$81,Сун!$83:$83,Сун!$86:$86,Сун!$88:$90,Сун!$94:$101</definedName>
    <definedName name="Z_42584DC0_1D41_4C93_9B38_C388E7B8DAC4_.wvu.Rows" localSheetId="11" hidden="1">Сят!$19:$24,Сят!$31:$35,Сят!$45:$48,Сят!$57:$57,Сят!$59:$60,Сят!$67:$68,Сят!$78:$79,Сят!$83:$87,Сят!$90:$97</definedName>
    <definedName name="Z_42584DC0_1D41_4C93_9B38_C388E7B8DAC4_.wvu.Rows" localSheetId="12" hidden="1">Тор!$19:$24,Тор!$32:$36,Тор!$46:$47,Тор!$50:$50,Тор!$57:$57,Тор!$59:$60,Тор!$67:$68,Тор!$75:$75,Тор!$79:$80,Тор!$84:$95</definedName>
    <definedName name="Z_42584DC0_1D41_4C93_9B38_C388E7B8DAC4_.wvu.Rows" localSheetId="13" hidden="1">Хор!$19:$22,Хор!$26:$35,Хор!$39:$39,Хор!$43:$43,Хор!$45:$47,Хор!$54:$54,Хор!$56:$58,Хор!$64:$65,Хор!$71:$71,Хор!$75:$76,Хор!$80:$84,Хор!$87:$94</definedName>
    <definedName name="Z_42584DC0_1D41_4C93_9B38_C388E7B8DAC4_.wvu.Rows" localSheetId="14" hidden="1">Чум!$19:$24,Чум!$31:$36,Чум!$47:$49,Чум!$57:$57,Чум!$59:$61,Чум!$67:$68,Чум!$78:$79,Чум!$83:$87,Чум!$90:$97</definedName>
    <definedName name="Z_42584DC0_1D41_4C93_9B38_C388E7B8DAC4_.wvu.Rows" localSheetId="15" hidden="1">Шать!$19:$24,Шать!$32:$33,Шать!$35:$35,Шать!$38:$38,Шать!$46:$49,Шать!$57:$57,Шать!$59:$61,Шать!$67:$68,Шать!$78:$79,Шать!$83:$87,Шать!$90:$97</definedName>
    <definedName name="Z_42584DC0_1D41_4C93_9B38_C388E7B8DAC4_.wvu.Rows" localSheetId="16" hidden="1">Юнг!$19:$24,Юнг!$31:$38,Юнг!$45:$46,Юнг!$49:$49,Юнг!$56:$56,Юнг!$58:$60,Юнг!$66:$68,Юнг!$77:$78,Юнг!$82:$86,Юнг!$89:$96</definedName>
    <definedName name="Z_42584DC0_1D41_4C93_9B38_C388E7B8DAC4_.wvu.Rows" localSheetId="17" hidden="1">Юсь!$19:$24,Юсь!$31:$33,Юсь!$38:$38,Юсь!#REF!,Юсь!$45:$50,Юсь!$59:$59,Юсь!$61:$63,Юсь!$69:$70,Юсь!$80:$81,Юсь!$85:$89,Юсь!$92:$99</definedName>
    <definedName name="Z_42584DC0_1D41_4C93_9B38_C388E7B8DAC4_.wvu.Rows" localSheetId="18" hidden="1">Яра!$19:$24,Яра!$32:$36,Яра!$46:$50,Яра!$58:$58,Яра!$60:$62,Яра!$68:$69,Яра!$79:$80,Яра!$84:$88,Яра!$91:$98</definedName>
    <definedName name="Z_42584DC0_1D41_4C93_9B38_C388E7B8DAC4_.wvu.Rows" localSheetId="19" hidden="1">Ярос!$19:$24,Ярос!$28:$37,Ярос!$44:$45,Ярос!$47:$48,Ярос!$55:$55,Ярос!$57:$59,Ярос!$65:$66,Ярос!$76:$77,Ярос!$81:$85,Ярос!$88:$95</definedName>
    <definedName name="Z_4D5E6ACC_9055_4DE9_8C20_9052F3C35D19_.wvu.Cols" localSheetId="1" hidden="1">Справка!$BB:$BD,Справка!$BH:$BJ,Справка!$BN:$BP,Справка!$BR:$BS,Справка!$BZ:$CE,Справка!$DD:$DL</definedName>
    <definedName name="Z_4D5E6ACC_9055_4DE9_8C20_9052F3C35D19_.wvu.PrintArea" localSheetId="4" hidden="1">Але!$A$1:$F$97</definedName>
    <definedName name="Z_4D5E6ACC_9055_4DE9_8C20_9052F3C35D19_.wvu.PrintArea" localSheetId="6" hidden="1">Иль!$A$1:$F$103</definedName>
    <definedName name="Z_4D5E6ACC_9055_4DE9_8C20_9052F3C35D19_.wvu.PrintArea" localSheetId="0" hidden="1">Консол!$A$1:$H$52</definedName>
    <definedName name="Z_4D5E6ACC_9055_4DE9_8C20_9052F3C35D19_.wvu.PrintArea" localSheetId="8" hidden="1">Мор!$A$1:$F$101</definedName>
    <definedName name="Z_4D5E6ACC_9055_4DE9_8C20_9052F3C35D19_.wvu.PrintArea" localSheetId="2" hidden="1">район!$A$1:$G$202</definedName>
    <definedName name="Z_4D5E6ACC_9055_4DE9_8C20_9052F3C35D19_.wvu.PrintArea" localSheetId="1" hidden="1">Справка!$A$1:$FE$31</definedName>
    <definedName name="Z_4D5E6ACC_9055_4DE9_8C20_9052F3C35D19_.wvu.PrintArea" localSheetId="5" hidden="1">Сун!$A$1:$F$105</definedName>
    <definedName name="Z_4D5E6ACC_9055_4DE9_8C20_9052F3C35D19_.wvu.PrintArea" localSheetId="12" hidden="1">Тор!$A$1:$F$101</definedName>
    <definedName name="Z_4D5E6ACC_9055_4DE9_8C20_9052F3C35D19_.wvu.PrintArea" localSheetId="16" hidden="1">Юнг!$A$1:$F$100</definedName>
    <definedName name="Z_4D5E6ACC_9055_4DE9_8C20_9052F3C35D19_.wvu.PrintArea" localSheetId="18" hidden="1">Яра!$A$1:$F$102</definedName>
    <definedName name="Z_4D5E6ACC_9055_4DE9_8C20_9052F3C35D19_.wvu.Rows" localSheetId="4" hidden="1">Але!$19:$24,Але!$28:$28,Але!$40:$40,Але!$55:$56,Але!$63:$64,Але!$69:$70,Але!$74:$74,Але!$79:$82,Але!$86:$93,Але!$142:$142</definedName>
    <definedName name="Z_4D5E6ACC_9055_4DE9_8C20_9052F3C35D19_.wvu.Rows" localSheetId="6" hidden="1">Иль!$19:$23,Иль!$35:$35,Иль!$38:$38,Иль!$44:$44,Иль!$46:$46,Иль!$50:$50,Иль!$57:$57,Иль!$59:$61,Иль!$67:$68,Иль!$74:$74,Иль!$77:$78,Иль!$80:$80,Иль!$85:$89,Иль!$92:$99,Иль!$142:$142</definedName>
    <definedName name="Z_4D5E6ACC_9055_4DE9_8C20_9052F3C35D19_.wvu.Rows" localSheetId="7" hidden="1">Кад!$19:$24,Кад!$31:$33,Кад!$38:$38,Кад!$42:$42,Кад!$44:$44,Кад!$48:$48,Кад!$56:$56,Кад!$58:$60,Кад!$66:$67,Кад!$72:$72,Кад!$77:$77,Кад!$82:$86,Кад!$89:$96,Кад!$142:$142</definedName>
    <definedName name="Z_4D5E6ACC_9055_4DE9_8C20_9052F3C35D19_.wvu.Rows" localSheetId="0" hidden="1">Консол!$45:$47</definedName>
    <definedName name="Z_4D5E6ACC_9055_4DE9_8C20_9052F3C35D19_.wvu.Rows" localSheetId="20" hidden="1">Лист1!$82:$84</definedName>
    <definedName name="Z_4D5E6ACC_9055_4DE9_8C20_9052F3C35D19_.wvu.Rows" localSheetId="8" hidden="1">Мор!$17:$24,Мор!$27:$27,Мор!$44:$44,Мор!$47:$47,Мор!$57:$57,Мор!$59:$61,Мор!$64:$65,Мор!$67:$68,Мор!$78:$78,Мор!$83:$88,Мор!$91:$97,Мор!$142:$142</definedName>
    <definedName name="Z_4D5E6ACC_9055_4DE9_8C20_9052F3C35D19_.wvu.Rows" localSheetId="9" hidden="1">Мос!$19:$24,Мос!$42:$42,Мос!$44:$44,Мос!$48:$48,Мос!$50:$50,Мос!$58:$58,Мос!$60:$61,Мос!$68:$69,Мос!$74:$75,Мос!$79:$79,Мос!$82:$82,Мос!$85:$85,Мос!$87:$87,Мос!$89:$89,Мос!$92:$92,Мос!$95:$102,Мос!$143:$143</definedName>
    <definedName name="Z_4D5E6ACC_9055_4DE9_8C20_9052F3C35D19_.wvu.Rows" localSheetId="10" hidden="1">Ори!$19:$24,Ори!$43:$43,Ори!$45:$45,Ори!$49:$51,Ори!$58:$58,Ори!$60:$61,Ори!$68:$69,Ори!$75:$75,Ори!$79:$79,Ори!$82:$82,Ори!$85:$89,Ори!$92:$99,Ори!$143:$143</definedName>
    <definedName name="Z_4D5E6ACC_9055_4DE9_8C20_9052F3C35D19_.wvu.Rows" localSheetId="2" hidden="1">район!$198:$198</definedName>
    <definedName name="Z_4D5E6ACC_9055_4DE9_8C20_9052F3C35D19_.wvu.Rows" localSheetId="5" hidden="1">Сун!$19:$24,Сун!$44:$44,Сун!$46:$46,Сун!$50:$52,Сун!$59:$59,Сун!$61:$62,Сун!$69:$70,Сун!$80:$80,Сун!$83:$83,Сун!$86:$86,Сун!$88:$90,Сун!$94:$101,Сун!$143:$143</definedName>
    <definedName name="Z_4D5E6ACC_9055_4DE9_8C20_9052F3C35D19_.wvu.Rows" localSheetId="11" hidden="1">Сят!$19:$24,Сят!$38:$38,Сят!$45:$47,Сят!$57:$57,Сят!$59:$60,Сят!$67:$68,Сят!$78:$78,Сят!$83:$87,Сят!$90:$97,Сят!$143:$143</definedName>
    <definedName name="Z_4D5E6ACC_9055_4DE9_8C20_9052F3C35D19_.wvu.Rows" localSheetId="12" hidden="1">Тор!$19:$24,Тор!$39:$39,Тор!$43:$43,Тор!$47:$47,Тор!$49:$49,Тор!$57:$57,Тор!$59:$60,Тор!$67:$68,Тор!$73:$73,Тор!$75:$75,Тор!$79:$79,Тор!$87:$95,Тор!$142:$142</definedName>
    <definedName name="Z_4D5E6ACC_9055_4DE9_8C20_9052F3C35D19_.wvu.Rows" localSheetId="13" hidden="1">Хор!$20:$22,Хор!$26:$26,Хор!$39:$39,Хор!$45:$47,Хор!$54:$54,Хор!$56:$57,Хор!$64:$65,Хор!$70:$71,Хор!$75:$75,Хор!$80:$84,Хор!$87:$94,Хор!$141:$141</definedName>
    <definedName name="Z_4D5E6ACC_9055_4DE9_8C20_9052F3C35D19_.wvu.Rows" localSheetId="14" hidden="1">Чум!$19:$19,Чум!$21:$21,Чум!$24:$24,Чум!$43:$43,Чум!$47:$49,Чум!$57:$57,Чум!$59:$60,Чум!$67:$68,Чум!$78:$78,Чум!$83:$87,Чум!$90:$97,Чум!$142:$142</definedName>
    <definedName name="Z_4D5E6ACC_9055_4DE9_8C20_9052F3C35D19_.wvu.Rows" localSheetId="15" hidden="1">Шать!$19:$25,Шать!$35:$36,Шать!$47:$49,Шать!$57:$57,Шать!$59:$60,Шать!$67:$68,Шать!$74:$74,Шать!$78:$78,Шать!$84:$86,Шать!$90:$97,Шать!$142:$142</definedName>
    <definedName name="Z_4D5E6ACC_9055_4DE9_8C20_9052F3C35D19_.wvu.Rows" localSheetId="16" hidden="1">Юнг!$19:$24,Юнг!$38:$38,Юнг!$42:$42,Юнг!$46:$46,Юнг!$56:$56,Юнг!$58:$59,Юнг!$66:$67,Юнг!$77:$77,Юнг!$82:$86,Юнг!$89:$96,Юнг!$142:$142</definedName>
    <definedName name="Z_4D5E6ACC_9055_4DE9_8C20_9052F3C35D19_.wvu.Rows" localSheetId="17" hidden="1">Юсь!$19:$24,Юсь!$45:$50,Юсь!$59:$59,Юсь!$61:$62,Юсь!$69:$70,Юсь!$85:$89,Юсь!$92:$99,Юсь!$143:$143</definedName>
    <definedName name="Z_4D5E6ACC_9055_4DE9_8C20_9052F3C35D19_.wvu.Rows" localSheetId="18" hidden="1">Яра!$19:$24,Яра!$28:$29,Яра!$48:$49,Яра!$58:$58,Яра!$60:$61,Яра!$68:$69,Яра!$75:$75,Яра!$79:$79,Яра!$84:$88,Яра!$91:$98,Яра!$143:$143</definedName>
    <definedName name="Z_4D5E6ACC_9055_4DE9_8C20_9052F3C35D19_.wvu.Rows" localSheetId="19" hidden="1">Ярос!$19:$24,Ярос!$28:$28,Ярос!$41:$41,Ярос!$44:$44,Ярос!$47:$48,Ярос!$55:$55,Ярос!$57:$58,Ярос!$65:$66,Ярос!$71:$71,Ярос!$76:$76,Ярос!$83:$85,Ярос!$88:$95</definedName>
    <definedName name="Z_5BFCA170_DEAE_4D2C_98A0_1E68B427AC01_.wvu.Cols" localSheetId="1" hidden="1">Справка!$BB:$BD,Справка!$BH:$BJ,Справка!$BN:$BS,Справка!$BZ:$CE,Справка!$DD:$DL</definedName>
    <definedName name="Z_5BFCA170_DEAE_4D2C_98A0_1E68B427AC01_.wvu.PrintArea" localSheetId="6" hidden="1">Иль!$A$1:$F$103</definedName>
    <definedName name="Z_5BFCA170_DEAE_4D2C_98A0_1E68B427AC01_.wvu.PrintArea" localSheetId="0" hidden="1">Консол!$A$1:$H$52</definedName>
    <definedName name="Z_5BFCA170_DEAE_4D2C_98A0_1E68B427AC01_.wvu.PrintArea" localSheetId="8" hidden="1">Мор!$A$1:$F$101</definedName>
    <definedName name="Z_5BFCA170_DEAE_4D2C_98A0_1E68B427AC01_.wvu.PrintArea" localSheetId="1" hidden="1">Справка!$A$1:$FE$31</definedName>
    <definedName name="Z_5BFCA170_DEAE_4D2C_98A0_1E68B427AC01_.wvu.PrintArea" localSheetId="12" hidden="1">Тор!$A$1:$F$101</definedName>
    <definedName name="Z_5BFCA170_DEAE_4D2C_98A0_1E68B427AC01_.wvu.PrintArea" localSheetId="16" hidden="1">Юнг!$A$1:$F$100</definedName>
    <definedName name="Z_5BFCA170_DEAE_4D2C_98A0_1E68B427AC01_.wvu.PrintArea" localSheetId="18" hidden="1">Яра!$A$1:$F$102</definedName>
    <definedName name="Z_5BFCA170_DEAE_4D2C_98A0_1E68B427AC01_.wvu.Rows" localSheetId="4" hidden="1">Але!$19:$24,Але!$44:$44,Але!$46:$46,Але!$53:$53,Але!$55:$56,Але!$63:$64,Але!$74:$75,Але!$79:$83,Але!$87:$89</definedName>
    <definedName name="Z_5BFCA170_DEAE_4D2C_98A0_1E68B427AC01_.wvu.Rows" localSheetId="6" hidden="1">Иль!$19:$24,Иль!$30:$31,Иль!$34:$34,Иль!$46:$46,Иль!#REF!,Иль!$59:$60,Иль!$67:$68,Иль!$77:$78,Иль!$80:$80,Иль!$92:$96</definedName>
    <definedName name="Z_5BFCA170_DEAE_4D2C_98A0_1E68B427AC01_.wvu.Rows" localSheetId="7" hidden="1">Кад!$19:$24,Кад!$44:$44,Кад!$56:$56,Кад!$58:$59,Кад!$66:$67,Кад!$83:$85,Кад!$89:$96</definedName>
    <definedName name="Z_5BFCA170_DEAE_4D2C_98A0_1E68B427AC01_.wvu.Rows" localSheetId="0" hidden="1">Консол!$22:$22,Консол!$45:$47,Консол!$84:$86</definedName>
    <definedName name="Z_5BFCA170_DEAE_4D2C_98A0_1E68B427AC01_.wvu.Rows" localSheetId="20" hidden="1">Лист1!$82:$84</definedName>
    <definedName name="Z_5BFCA170_DEAE_4D2C_98A0_1E68B427AC01_.wvu.Rows" localSheetId="8" hidden="1">Мор!$21:$21,Мор!$23:$23,Мор!$37:$37,Мор!$44:$44,Мор!$47:$47,Мор!$49:$50,Мор!$57:$57,Мор!$59:$60,Мор!$67:$68,Мор!$83:$88,Мор!$91:$97</definedName>
    <definedName name="Z_5BFCA170_DEAE_4D2C_98A0_1E68B427AC01_.wvu.Rows" localSheetId="9" hidden="1">Мос!$19:$24,Мос!$44:$44,Мос!$58:$58,Мос!$60:$61,Мос!$68:$69,Мос!$82:$82,Мос!$84:$90,Мос!$95:$100</definedName>
    <definedName name="Z_5BFCA170_DEAE_4D2C_98A0_1E68B427AC01_.wvu.Rows" localSheetId="10" hidden="1">Ори!$19:$24,Ори!$33:$33,Ори!$45:$45,Ори!$49:$51,Ори!$58:$58,Ори!$60:$61,Ори!$68:$69,Ори!$79:$80,Ори!$82:$82,Ори!$84:$88,Ори!$92:$99</definedName>
    <definedName name="Z_5BFCA170_DEAE_4D2C_98A0_1E68B427AC01_.wvu.Rows" localSheetId="5" hidden="1">Сун!$19:$24,Сун!$50:$52,Сун!$59:$59,Сун!$61:$62,Сун!$69:$70,Сун!$80:$81,Сун!$83:$83,Сун!$89:$90,Сун!$94:$98</definedName>
    <definedName name="Z_5BFCA170_DEAE_4D2C_98A0_1E68B427AC01_.wvu.Rows" localSheetId="11" hidden="1">Сят!$19:$19,Сят!$45:$47,Сят!$57:$57,Сят!$59:$60,Сят!$67:$68,Сят!$83:$86,Сят!$90:$97</definedName>
    <definedName name="Z_5BFCA170_DEAE_4D2C_98A0_1E68B427AC01_.wvu.Rows" localSheetId="12" hidden="1">Тор!$19:$19,Тор!$50:$50,Тор!$57:$57,Тор!$59:$60,Тор!$67:$68,Тор!$75:$75,Тор!$79:$80,Тор!$83:$93</definedName>
    <definedName name="Z_5BFCA170_DEAE_4D2C_98A0_1E68B427AC01_.wvu.Rows" localSheetId="13" hidden="1">Хор!$19:$22,Хор!$30:$30,Хор!$39:$39,Хор!$43:$43,Хор!$54:$54,Хор!$56:$57,Хор!$64:$65,Хор!$80:$84,Хор!$87:$94</definedName>
    <definedName name="Z_5BFCA170_DEAE_4D2C_98A0_1E68B427AC01_.wvu.Rows" localSheetId="14" hidden="1">Чум!$19:$19,Чум!$21:$21,Чум!$23:$24,Чум!$47:$49,Чум!$57:$57,Чум!$59:$60,Чум!$67:$68,Чум!$83:$87,Чум!$90:$97</definedName>
    <definedName name="Z_5BFCA170_DEAE_4D2C_98A0_1E68B427AC01_.wvu.Rows" localSheetId="15" hidden="1">Шать!$19:$24,Шать!$47:$49,Шать!$57:$57,Шать!$59:$60,Шать!$67:$68,Шать!$78:$79,Шать!$83:$87,Шать!$90:$97</definedName>
    <definedName name="Z_5BFCA170_DEAE_4D2C_98A0_1E68B427AC01_.wvu.Rows" localSheetId="16" hidden="1">Юнг!$19:$24,Юнг!$32:$32,Юнг!$49:$49,Юнг!$56:$56,Юнг!$58:$59,Юнг!$66:$67,Юнг!$82:$86,Юнг!$89:$96</definedName>
    <definedName name="Z_5BFCA170_DEAE_4D2C_98A0_1E68B427AC01_.wvu.Rows" localSheetId="18" hidden="1">Яра!$19:$24,Яра!$46:$50,Яра!$58:$58,Яра!$60:$61,Яра!$68:$69,Яра!$79:$79,Яра!$82:$88,Яра!$91:$98</definedName>
    <definedName name="Z_5BFCA170_DEAE_4D2C_98A0_1E68B427AC01_.wvu.Rows" localSheetId="19" hidden="1">Ярос!$19:$24,Ярос!$44:$44,Ярос!$55:$55,Ярос!$57:$58,Ярос!$65:$66,Ярос!$76:$77,Ярос!$81:$86,Ярос!$88:$95</definedName>
    <definedName name="Z_5C539BE6_C8E0_453F_AB5E_9E58094195EA_.wvu.Cols" localSheetId="1" hidden="1">Справка!$BB:$BD,Справка!$BH:$BJ,Справка!$BN:$BP,Справка!$BR:$BS,Справка!$BZ:$CE,Справка!$DD:$DL</definedName>
    <definedName name="Z_5C539BE6_C8E0_453F_AB5E_9E58094195EA_.wvu.PrintArea" localSheetId="4" hidden="1">Але!$A$1:$F$97</definedName>
    <definedName name="Z_5C539BE6_C8E0_453F_AB5E_9E58094195EA_.wvu.PrintArea" localSheetId="6" hidden="1">Иль!$A$1:$F$103</definedName>
    <definedName name="Z_5C539BE6_C8E0_453F_AB5E_9E58094195EA_.wvu.PrintArea" localSheetId="0" hidden="1">Консол!$A$1:$H$52</definedName>
    <definedName name="Z_5C539BE6_C8E0_453F_AB5E_9E58094195EA_.wvu.PrintArea" localSheetId="8" hidden="1">Мор!$A$1:$F$101</definedName>
    <definedName name="Z_5C539BE6_C8E0_453F_AB5E_9E58094195EA_.wvu.PrintArea" localSheetId="2" hidden="1">район!$A$1:$G$202</definedName>
    <definedName name="Z_5C539BE6_C8E0_453F_AB5E_9E58094195EA_.wvu.PrintArea" localSheetId="1" hidden="1">Справка!$A$1:$FE$31</definedName>
    <definedName name="Z_5C539BE6_C8E0_453F_AB5E_9E58094195EA_.wvu.PrintArea" localSheetId="5" hidden="1">Сун!$A$1:$F$105</definedName>
    <definedName name="Z_5C539BE6_C8E0_453F_AB5E_9E58094195EA_.wvu.PrintArea" localSheetId="12" hidden="1">Тор!$A$1:$F$101</definedName>
    <definedName name="Z_5C539BE6_C8E0_453F_AB5E_9E58094195EA_.wvu.PrintArea" localSheetId="16" hidden="1">Юнг!$A$1:$F$100</definedName>
    <definedName name="Z_5C539BE6_C8E0_453F_AB5E_9E58094195EA_.wvu.PrintArea" localSheetId="18" hidden="1">Яра!$A$1:$F$102</definedName>
    <definedName name="Z_5C539BE6_C8E0_453F_AB5E_9E58094195EA_.wvu.Rows" localSheetId="4" hidden="1">Але!$19:$24,Але!$28:$28,Але!$36:$36,Але!$40:$40,Але!$55:$56,Але!$63:$64,Але!$69:$70,Але!$74:$74,Але!$79:$82,Але!$86:$93,Але!$142:$142</definedName>
    <definedName name="Z_5C539BE6_C8E0_453F_AB5E_9E58094195EA_.wvu.Rows" localSheetId="6" hidden="1">Иль!$19:$23,Иль!$35:$35,Иль!#REF!,Иль!$44:$44,Иль!$46:$46,Иль!$50:$50,Иль!$57:$57,Иль!$59:$61,Иль!$67:$68,Иль!$77:$78,Иль!$80:$80,Иль!$85:$89,Иль!$92:$99,Иль!$142:$142</definedName>
    <definedName name="Z_5C539BE6_C8E0_453F_AB5E_9E58094195EA_.wvu.Rows" localSheetId="7" hidden="1">Кад!$19:$24,Кад!$31:$35,Кад!$38:$38,Кад!$42:$42,Кад!$44:$44,Кад!$48:$48,Кад!$56:$56,Кад!$58:$60,Кад!$66:$67,Кад!$77:$77,Кад!$82:$86,Кад!$89:$96,Кад!$142:$142</definedName>
    <definedName name="Z_5C539BE6_C8E0_453F_AB5E_9E58094195EA_.wvu.Rows" localSheetId="0" hidden="1">Консол!$45:$47</definedName>
    <definedName name="Z_5C539BE6_C8E0_453F_AB5E_9E58094195EA_.wvu.Rows" localSheetId="20" hidden="1">Лист1!$82:$84</definedName>
    <definedName name="Z_5C539BE6_C8E0_453F_AB5E_9E58094195EA_.wvu.Rows" localSheetId="8" hidden="1">Мор!$17:$24,Мор!$27:$27,Мор!$44:$44,Мор!$47:$47,Мор!$57:$57,Мор!$59:$61,Мор!$64:$65,Мор!$67:$68,Мор!$78:$78,Мор!$83:$88,Мор!$91:$97,Мор!$142:$142</definedName>
    <definedName name="Z_5C539BE6_C8E0_453F_AB5E_9E58094195EA_.wvu.Rows" localSheetId="9" hidden="1">Мос!$19:$24,Мос!$42:$42,Мос!$44:$44,Мос!$48:$48,Мос!$50:$50,Мос!$58:$58,Мос!$60:$61,Мос!$68:$69,Мос!$82:$82,Мос!$85:$92,Мос!$95:$102,Мос!$143:$143</definedName>
    <definedName name="Z_5C539BE6_C8E0_453F_AB5E_9E58094195EA_.wvu.Rows" localSheetId="10" hidden="1">Ори!$19:$24,Ори!$32:$34,Ори!$45:$45,Ори!$49:$51,Ори!$58:$58,Ори!$60:$61,Ори!$68:$69,Ори!$79:$79,Ори!$82:$82,Ори!$85:$89,Ори!$92:$99,Ори!$143:$143</definedName>
    <definedName name="Z_5C539BE6_C8E0_453F_AB5E_9E58094195EA_.wvu.Rows" localSheetId="2" hidden="1">район!#REF!,район!$30:$31,район!$40:$40,район!$44:$44,район!$57:$58,район!#REF!,район!#REF!</definedName>
    <definedName name="Z_5C539BE6_C8E0_453F_AB5E_9E58094195EA_.wvu.Rows" localSheetId="5" hidden="1">Сун!$19:$24,Сун!$44:$44,Сун!$46:$46,Сун!$50:$52,Сун!$59:$59,Сун!$61:$62,Сун!$69:$70,Сун!$76:$76,Сун!$80:$80,Сун!$83:$83,Сун!$86:$86,Сун!$88:$90,Сун!$94:$101,Сун!$143:$143</definedName>
    <definedName name="Z_5C539BE6_C8E0_453F_AB5E_9E58094195EA_.wvu.Rows" localSheetId="11" hidden="1">Сят!$19:$24,Сят!$38:$38,Сят!$45:$47,Сят!$57:$57,Сят!$59:$60,Сят!$67:$68,Сят!$78:$78,Сят!$83:$87,Сят!$90:$97,Сят!$143:$143</definedName>
    <definedName name="Z_5C539BE6_C8E0_453F_AB5E_9E58094195EA_.wvu.Rows" localSheetId="12" hidden="1">Тор!$19:$24,Тор!$32:$34,Тор!$39:$39,Тор!$43:$43,Тор!$47:$47,Тор!$57:$57,Тор!$59:$60,Тор!$67:$68,Тор!$75:$75,Тор!$79:$79,Тор!$86:$95,Тор!$142:$142</definedName>
    <definedName name="Z_5C539BE6_C8E0_453F_AB5E_9E58094195EA_.wvu.Rows" localSheetId="13" hidden="1">Хор!$19:$22,Хор!$26:$30,Хор!$39:$39,Хор!$45:$47,Хор!$54:$54,Хор!$56:$57,Хор!$64:$65,Хор!$75:$75,Хор!$80:$84,Хор!$87:$94,Хор!$141:$141</definedName>
    <definedName name="Z_5C539BE6_C8E0_453F_AB5E_9E58094195EA_.wvu.Rows" localSheetId="14" hidden="1">Чум!$19:$19,Чум!$21:$21,Чум!$24:$24,Чум!$43:$43,Чум!$47:$49,Чум!$57:$57,Чум!$59:$60,Чум!$67:$68,Чум!$78:$78,Чум!$83:$87,Чум!$90:$97,Чум!$142:$142</definedName>
    <definedName name="Z_5C539BE6_C8E0_453F_AB5E_9E58094195EA_.wvu.Rows" localSheetId="15" hidden="1">Шать!$19:$25,Шать!$35:$36,Шать!$38:$38,Шать!$47:$49,Шать!$57:$57,Шать!$59:$60,Шать!$67:$68,Шать!$78:$78,Шать!$84:$86,Шать!$90:$97,Шать!$142:$142</definedName>
    <definedName name="Z_5C539BE6_C8E0_453F_AB5E_9E58094195EA_.wvu.Rows" localSheetId="16" hidden="1">Юнг!$19:$24,Юнг!$38:$38,Юнг!$42:$42,Юнг!$46:$46,Юнг!$56:$56,Юнг!$58:$59,Юнг!$66:$67,Юнг!$77:$77,Юнг!$82:$86,Юнг!$89:$96,Юнг!$142:$142</definedName>
    <definedName name="Z_5C539BE6_C8E0_453F_AB5E_9E58094195EA_.wvu.Rows" localSheetId="17" hidden="1">Юсь!$19:$24,Юсь!$38:$38,Юсь!$45:$50,Юсь!$59:$59,Юсь!$61:$62,Юсь!$69:$70,Юсь!$85:$89,Юсь!$92:$99,Юсь!$143:$143</definedName>
    <definedName name="Z_5C539BE6_C8E0_453F_AB5E_9E58094195EA_.wvu.Rows" localSheetId="18" hidden="1">Яра!$19:$24,Яра!$28:$29,Яра!$33:$34,Яра!$36:$36,Яра!$38:$38,Яра!$58:$58,Яра!$60:$61,Яра!$68:$69,Яра!$79:$79,Яра!$84:$88,Яра!$91:$98,Яра!$143:$143</definedName>
    <definedName name="Z_5C539BE6_C8E0_453F_AB5E_9E58094195EA_.wvu.Rows" localSheetId="19" hidden="1">Ярос!$19:$24,Ярос!$28:$28,Ярос!$41:$41,Ярос!$44:$44,Ярос!$47:$48,Ярос!$55:$55,Ярос!$57:$58,Ярос!$65:$66,Ярос!$76:$76,Ярос!$83:$85,Ярос!$88:$91,Ярос!$93:$95</definedName>
    <definedName name="Z_61528DAC_5C4C_48F4_ADE2_8A724B05A086_.wvu.Cols" localSheetId="1" hidden="1">Справка!$BB:$BD,Справка!$BH:$BJ,Справка!$BN:$BP,Справка!$BR:$BS,Справка!$BZ:$CE,Справка!$DD:$DL</definedName>
    <definedName name="Z_61528DAC_5C4C_48F4_ADE2_8A724B05A086_.wvu.PrintArea" localSheetId="4" hidden="1">Але!$A$1:$F$97</definedName>
    <definedName name="Z_61528DAC_5C4C_48F4_ADE2_8A724B05A086_.wvu.PrintArea" localSheetId="6" hidden="1">Иль!$A$1:$F$103</definedName>
    <definedName name="Z_61528DAC_5C4C_48F4_ADE2_8A724B05A086_.wvu.PrintArea" localSheetId="0" hidden="1">Консол!$A$1:$H$52</definedName>
    <definedName name="Z_61528DAC_5C4C_48F4_ADE2_8A724B05A086_.wvu.PrintArea" localSheetId="8" hidden="1">Мор!$A$1:$F$101</definedName>
    <definedName name="Z_61528DAC_5C4C_48F4_ADE2_8A724B05A086_.wvu.PrintArea" localSheetId="2" hidden="1">район!$A$1:$G$202</definedName>
    <definedName name="Z_61528DAC_5C4C_48F4_ADE2_8A724B05A086_.wvu.PrintArea" localSheetId="1" hidden="1">Справка!$A$1:$FE$31</definedName>
    <definedName name="Z_61528DAC_5C4C_48F4_ADE2_8A724B05A086_.wvu.PrintArea" localSheetId="5" hidden="1">Сун!$A$1:$F$105</definedName>
    <definedName name="Z_61528DAC_5C4C_48F4_ADE2_8A724B05A086_.wvu.PrintArea" localSheetId="12" hidden="1">Тор!$A$1:$F$101</definedName>
    <definedName name="Z_61528DAC_5C4C_48F4_ADE2_8A724B05A086_.wvu.PrintArea" localSheetId="16" hidden="1">Юнг!$A$1:$F$100</definedName>
    <definedName name="Z_61528DAC_5C4C_48F4_ADE2_8A724B05A086_.wvu.PrintArea" localSheetId="18" hidden="1">Яра!$A$1:$F$102</definedName>
    <definedName name="Z_61528DAC_5C4C_48F4_ADE2_8A724B05A086_.wvu.Rows" localSheetId="4" hidden="1">Але!$19:$24,Але!$28:$28,Але!$40:$40,Але!$55:$56,Але!$63:$64,Але!$69:$70,Але!$74:$74,Але!$79:$82,Але!$86:$93,Але!$142:$142</definedName>
    <definedName name="Z_61528DAC_5C4C_48F4_ADE2_8A724B05A086_.wvu.Rows" localSheetId="6" hidden="1">Иль!$19:$23,Иль!$35:$35,Иль!$38:$38,Иль!$44:$44,Иль!$46:$46,Иль!$50:$50,Иль!$57:$57,Иль!$59:$61,Иль!$67:$68,Иль!$74:$74,Иль!$77:$78,Иль!$80:$80,Иль!$85:$89,Иль!$92:$99,Иль!$142:$142</definedName>
    <definedName name="Z_61528DAC_5C4C_48F4_ADE2_8A724B05A086_.wvu.Rows" localSheetId="7" hidden="1">Кад!$19:$24,Кад!$31:$33,Кад!$38:$38,Кад!$42:$42,Кад!$44:$44,Кад!$48:$48,Кад!$56:$56,Кад!$58:$60,Кад!$66:$67,Кад!$72:$72,Кад!$77:$77,Кад!$82:$86,Кад!$89:$96,Кад!$142:$142</definedName>
    <definedName name="Z_61528DAC_5C4C_48F4_ADE2_8A724B05A086_.wvu.Rows" localSheetId="0" hidden="1">Консол!$45:$47</definedName>
    <definedName name="Z_61528DAC_5C4C_48F4_ADE2_8A724B05A086_.wvu.Rows" localSheetId="20" hidden="1">Лист1!$82:$84</definedName>
    <definedName name="Z_61528DAC_5C4C_48F4_ADE2_8A724B05A086_.wvu.Rows" localSheetId="8" hidden="1">Мор!$17:$24,Мор!$27:$27,Мор!$44:$44,Мор!$47:$47,Мор!$57:$57,Мор!$59:$61,Мор!$64:$65,Мор!$67:$68,Мор!$78:$78,Мор!$83:$88,Мор!$91:$97,Мор!$142:$142</definedName>
    <definedName name="Z_61528DAC_5C4C_48F4_ADE2_8A724B05A086_.wvu.Rows" localSheetId="9" hidden="1">Мос!$19:$24,Мос!$42:$42,Мос!$44:$44,Мос!$48:$48,Мос!$50:$50,Мос!$58:$58,Мос!$60:$61,Мос!$68:$69,Мос!$74:$75,Мос!$79:$79,Мос!$82:$82,Мос!$85:$85,Мос!$87:$87,Мос!$89:$89,Мос!$92:$92,Мос!$95:$102,Мос!$143:$143</definedName>
    <definedName name="Z_61528DAC_5C4C_48F4_ADE2_8A724B05A086_.wvu.Rows" localSheetId="10" hidden="1">Ори!$19:$24,Ори!$43:$43,Ори!$45:$45,Ори!$49:$51,Ори!$58:$58,Ори!$60:$61,Ори!$68:$69,Ори!$75:$75,Ори!$79:$79,Ори!$82:$82,Ори!$85:$89,Ори!$92:$99,Ори!$143:$143</definedName>
    <definedName name="Z_61528DAC_5C4C_48F4_ADE2_8A724B05A086_.wvu.Rows" localSheetId="2" hidden="1">район!$198:$198</definedName>
    <definedName name="Z_61528DAC_5C4C_48F4_ADE2_8A724B05A086_.wvu.Rows" localSheetId="5" hidden="1">Сун!$19:$24,Сун!$44:$44,Сун!$46:$46,Сун!$50:$52,Сун!$59:$59,Сун!$61:$62,Сун!$69:$70,Сун!$80:$80,Сун!$83:$83,Сун!$86:$86,Сун!$88:$90,Сун!$94:$101,Сун!$143:$143</definedName>
    <definedName name="Z_61528DAC_5C4C_48F4_ADE2_8A724B05A086_.wvu.Rows" localSheetId="11" hidden="1">Сят!$19:$24,Сят!$38:$38,Сят!$45:$47,Сят!$57:$57,Сят!$59:$60,Сят!$67:$68,Сят!$78:$78,Сят!$83:$87,Сят!$90:$97,Сят!$143:$143</definedName>
    <definedName name="Z_61528DAC_5C4C_48F4_ADE2_8A724B05A086_.wvu.Rows" localSheetId="12" hidden="1">Тор!$19:$24,Тор!$39:$39,Тор!$43:$43,Тор!$47:$47,Тор!$49:$49,Тор!$57:$57,Тор!$59:$60,Тор!$67:$68,Тор!$73:$73,Тор!$75:$75,Тор!$79:$79,Тор!$87:$95,Тор!$142:$142</definedName>
    <definedName name="Z_61528DAC_5C4C_48F4_ADE2_8A724B05A086_.wvu.Rows" localSheetId="13" hidden="1">Хор!$20:$22,Хор!$26:$26,Хор!$39:$39,Хор!$45:$47,Хор!$54:$54,Хор!$56:$57,Хор!$64:$65,Хор!$70:$71,Хор!$75:$75,Хор!$80:$84,Хор!$87:$94,Хор!$141:$141</definedName>
    <definedName name="Z_61528DAC_5C4C_48F4_ADE2_8A724B05A086_.wvu.Rows" localSheetId="14" hidden="1">Чум!$19:$19,Чум!$21:$21,Чум!$24:$24,Чум!$43:$43,Чум!$47:$49,Чум!$57:$57,Чум!$59:$60,Чум!$67:$68,Чум!$78:$78,Чум!$83:$87,Чум!$90:$97,Чум!$142:$142</definedName>
    <definedName name="Z_61528DAC_5C4C_48F4_ADE2_8A724B05A086_.wvu.Rows" localSheetId="15" hidden="1">Шать!$19:$25,Шать!$35:$36,Шать!$47:$49,Шать!$57:$57,Шать!$59:$60,Шать!$67:$68,Шать!$74:$74,Шать!$78:$78,Шать!$84:$86,Шать!$90:$97,Шать!$142:$142</definedName>
    <definedName name="Z_61528DAC_5C4C_48F4_ADE2_8A724B05A086_.wvu.Rows" localSheetId="16" hidden="1">Юнг!$19:$24,Юнг!$38:$38,Юнг!$42:$42,Юнг!$46:$46,Юнг!$56:$56,Юнг!$58:$59,Юнг!$66:$67,Юнг!$77:$77,Юнг!$82:$86,Юнг!$89:$96,Юнг!$142:$142</definedName>
    <definedName name="Z_61528DAC_5C4C_48F4_ADE2_8A724B05A086_.wvu.Rows" localSheetId="17" hidden="1">Юсь!$19:$24,Юсь!$45:$50,Юсь!$59:$59,Юсь!$61:$62,Юсь!$69:$70,Юсь!$85:$89,Юсь!$92:$99,Юсь!$143:$143</definedName>
    <definedName name="Z_61528DAC_5C4C_48F4_ADE2_8A724B05A086_.wvu.Rows" localSheetId="18" hidden="1">Яра!$19:$24,Яра!$28:$29,Яра!$48:$49,Яра!$58:$58,Яра!$60:$61,Яра!$68:$69,Яра!$75:$75,Яра!$79:$79,Яра!$84:$88,Яра!$91:$98,Яра!$143:$143</definedName>
    <definedName name="Z_61528DAC_5C4C_48F4_ADE2_8A724B05A086_.wvu.Rows" localSheetId="19" hidden="1">Ярос!$19:$24,Ярос!$28:$28,Ярос!$41:$41,Ярос!$44:$44,Ярос!$47:$48,Ярос!$55:$55,Ярос!$57:$58,Ярос!$65:$66,Ярос!$71:$71,Ярос!$76:$76,Ярос!$83:$85,Ярос!$88:$95</definedName>
    <definedName name="Z_A54C432C_6C68_4B53_A75C_446EB3A61B2B_.wvu.Cols" localSheetId="1" hidden="1">Справка!$BB:$BD,Справка!$BH:$BJ,Справка!$BN:$BV,Справка!$BZ:$CE,Справка!$DD:$DL</definedName>
    <definedName name="Z_A54C432C_6C68_4B53_A75C_446EB3A61B2B_.wvu.PrintArea" localSheetId="6" hidden="1">Иль!$A$1:$F$103</definedName>
    <definedName name="Z_A54C432C_6C68_4B53_A75C_446EB3A61B2B_.wvu.PrintArea" localSheetId="0" hidden="1">Консол!$A$1:$H$52</definedName>
    <definedName name="Z_A54C432C_6C68_4B53_A75C_446EB3A61B2B_.wvu.PrintArea" localSheetId="8" hidden="1">Мор!$A$1:$F$101</definedName>
    <definedName name="Z_A54C432C_6C68_4B53_A75C_446EB3A61B2B_.wvu.PrintArea" localSheetId="1" hidden="1">Справка!$A$1:$FE$31</definedName>
    <definedName name="Z_A54C432C_6C68_4B53_A75C_446EB3A61B2B_.wvu.PrintArea" localSheetId="12" hidden="1">Тор!$A$1:$F$101</definedName>
    <definedName name="Z_A54C432C_6C68_4B53_A75C_446EB3A61B2B_.wvu.PrintArea" localSheetId="16" hidden="1">Юнг!$A$1:$F$100</definedName>
    <definedName name="Z_A54C432C_6C68_4B53_A75C_446EB3A61B2B_.wvu.PrintArea" localSheetId="18" hidden="1">Яра!$A$1:$F$102</definedName>
    <definedName name="Z_A54C432C_6C68_4B53_A75C_446EB3A61B2B_.wvu.Rows" localSheetId="4" hidden="1">Але!$19:$24,Але!$28:$33,Але!$36:$36,Але!$46:$46,Але!$53:$53,Але!$55:$57,Але!$63:$64,Але!$74:$75,Але!$79:$83,Але!$86:$93,Але!$142:$142</definedName>
    <definedName name="Z_A54C432C_6C68_4B53_A75C_446EB3A61B2B_.wvu.Rows" localSheetId="6" hidden="1">Иль!$19:$24,Иль!$30:$40,Иль!$46:$46,Иль!$48:$50,Иль!$57:$57,Иль!$59:$61,Иль!$67:$68,Иль!$77:$78,Иль!$80:$80,Иль!$85:$89,Иль!$92:$99,Иль!$142:$142</definedName>
    <definedName name="Z_A54C432C_6C68_4B53_A75C_446EB3A61B2B_.wvu.Rows" localSheetId="7" hidden="1">Кад!$19:$24,Кад!$31:$35,Кад!$38:$38,Кад!$42:$42,Кад!$44:$44,Кад!$46:$46,Кад!$48:$49,Кад!$56:$56,Кад!$58:$60,Кад!$66:$67,Кад!$77:$78,Кад!$82:$86,Кад!$89:$96,Кад!$142:$142</definedName>
    <definedName name="Z_A54C432C_6C68_4B53_A75C_446EB3A61B2B_.wvu.Rows" localSheetId="0" hidden="1">Консол!$22:$22,Консол!$45:$47</definedName>
    <definedName name="Z_A54C432C_6C68_4B53_A75C_446EB3A61B2B_.wvu.Rows" localSheetId="20" hidden="1">Лист1!$82:$84</definedName>
    <definedName name="Z_A54C432C_6C68_4B53_A75C_446EB3A61B2B_.wvu.Rows" localSheetId="8" hidden="1">Мор!$17:$24,Мор!$27:$27,Мор!$31:$35,Мор!$37:$37,Мор!$44:$44,Мор!$46:$47,Мор!$49:$50,Мор!$57:$57,Мор!$59:$60,Мор!$64:$65,Мор!$67:$68,Мор!$78:$79,Мор!$83:$88,Мор!$91:$97,Мор!$142:$142</definedName>
    <definedName name="Z_A54C432C_6C68_4B53_A75C_446EB3A61B2B_.wvu.Rows" localSheetId="9" hidden="1">Мос!$19:$24,Мос!$29:$35,Мос!$44:$44,Мос!$46:$50,Мос!$58:$58,Мос!$60:$61,Мос!$68:$69,Мос!$79:$80,Мос!$82:$82,Мос!$85:$92,Мос!$95:$102,Мос!$143:$143</definedName>
    <definedName name="Z_A54C432C_6C68_4B53_A75C_446EB3A61B2B_.wvu.Rows" localSheetId="10" hidden="1">Ори!$19:$24,Ори!$32:$36,Ори!$45:$45,Ори!$47:$47,Ори!$49:$51,Ори!$58:$58,Ори!$60:$61,Ори!$68:$69,Ори!$79:$80,Ори!$82:$82,Ори!$85:$89,Ори!$92:$99,Ори!$143:$143</definedName>
    <definedName name="Z_A54C432C_6C68_4B53_A75C_446EB3A61B2B_.wvu.Rows" localSheetId="2" hidden="1">район!$19:$19,район!$23:$23,район!$30:$30,район!$32:$36,район!$40:$40,район!$44:$44,район!$57:$58,район!#REF!,район!#REF!,район!#REF!,район!#REF!,район!#REF!,район!#REF!,район!$197:$198</definedName>
    <definedName name="Z_A54C432C_6C68_4B53_A75C_446EB3A61B2B_.wvu.Rows" localSheetId="1" hidden="1">Справка!#REF!</definedName>
    <definedName name="Z_A54C432C_6C68_4B53_A75C_446EB3A61B2B_.wvu.Rows" localSheetId="5" hidden="1">Сун!$19:$24,Сун!$35:$40,Сун!$44:$44,Сун!$46:$46,Сун!$48:$48,Сун!$50:$52,Сун!$59:$59,Сун!$61:$63,Сун!$69:$70,Сун!$80:$81,Сун!$83:$83,Сун!$86:$86,Сун!$88:$90,Сун!$94:$101,Сун!$143:$143</definedName>
    <definedName name="Z_A54C432C_6C68_4B53_A75C_446EB3A61B2B_.wvu.Rows" localSheetId="11" hidden="1">Сят!$19:$24,Сят!$31:$35,Сят!$38:$38,Сят!$45:$48,Сят!$57:$57,Сят!$59:$60,Сят!$67:$68,Сят!$78:$79,Сят!$83:$87,Сят!$90:$97,Сят!$143:$143</definedName>
    <definedName name="Z_A54C432C_6C68_4B53_A75C_446EB3A61B2B_.wvu.Rows" localSheetId="12" hidden="1">Тор!$19:$24,Тор!$32:$36,Тор!$39:$39,Тор!$46:$47,Тор!$50:$50,Тор!$57:$57,Тор!$59:$60,Тор!$67:$68,Тор!$75:$75,Тор!$79:$80,Тор!$84:$95,Тор!$142:$142</definedName>
    <definedName name="Z_A54C432C_6C68_4B53_A75C_446EB3A61B2B_.wvu.Rows" localSheetId="13" hidden="1">Хор!$19:$22,Хор!$26:$31,Хор!$39:$39,Хор!$43:$43,Хор!$45:$47,Хор!$54:$54,Хор!$56:$58,Хор!$64:$65,Хор!$71:$71,Хор!$75:$76,Хор!$80:$84,Хор!$87:$94,Хор!$141:$141</definedName>
    <definedName name="Z_A54C432C_6C68_4B53_A75C_446EB3A61B2B_.wvu.Rows" localSheetId="14" hidden="1">Чум!$19:$24,Чум!$31:$36,Чум!$46:$49,Чум!$57:$57,Чум!$59:$61,Чум!$67:$68,Чум!$78:$79,Чум!$83:$87,Чум!$90:$97,Чум!$142:$142</definedName>
    <definedName name="Z_A54C432C_6C68_4B53_A75C_446EB3A61B2B_.wvu.Rows" localSheetId="15" hidden="1">Шать!$19:$25,Шать!$31:$33,Шать!$46:$49,Шать!$57:$57,Шать!$59:$60,Шать!$67:$68,Шать!$78:$79,Шать!$84:$86,Шать!$90:$97,Шать!$142:$142</definedName>
    <definedName name="Z_A54C432C_6C68_4B53_A75C_446EB3A61B2B_.wvu.Rows" localSheetId="16" hidden="1">Юнг!$19:$24,Юнг!$33:$33,Юнг!$38:$38,Юнг!$46:$47,Юнг!$56:$56,Юнг!$58:$60,Юнг!$66:$68,Юнг!$77:$78,Юнг!$82:$86,Юнг!$89:$96,Юнг!$142:$142</definedName>
    <definedName name="Z_A54C432C_6C68_4B53_A75C_446EB3A61B2B_.wvu.Rows" localSheetId="17" hidden="1">Юсь!$19:$24,Юсь!$31:$33,Юсь!$38:$38,Юсь!#REF!,Юсь!$45:$51,Юсь!$59:$59,Юсь!$61:$62,Юсь!$69:$70,Юсь!$80:$81,Юсь!$85:$89,Юсь!$92:$99,Юсь!$143:$143</definedName>
    <definedName name="Z_A54C432C_6C68_4B53_A75C_446EB3A61B2B_.wvu.Rows" localSheetId="18" hidden="1">Яра!$19:$24,Яра!$32:$34,Яра!$46:$50,Яра!$58:$58,Яра!$60:$62,Яра!$68:$69,Яра!$79:$80,Яра!$84:$88,Яра!$91:$98,Яра!$143:$143</definedName>
    <definedName name="Z_A54C432C_6C68_4B53_A75C_446EB3A61B2B_.wvu.Rows" localSheetId="19" hidden="1">Ярос!$19:$24,Ярос!$28:$37,Ярос!$44:$44,Ярос!$47:$47,Ярос!$55:$55,Ярос!$57:$59,Ярос!$65:$66,Ярос!$76:$76,Ярос!$81:$85,Ярос!$88:$95</definedName>
    <definedName name="Z_B30CE22D_C12F_4E12_8BB9_3AAE0A6991CC_.wvu.Cols" localSheetId="1" hidden="1">Справка!$I:$K,Справка!$BB:$BD,Справка!$BH:$BJ,Справка!$BN:$BS,Справка!$BZ:$CE,Справка!$DD:$DL</definedName>
    <definedName name="Z_B30CE22D_C12F_4E12_8BB9_3AAE0A6991CC_.wvu.PrintArea" localSheetId="4" hidden="1">Але!$A$1:$F$97</definedName>
    <definedName name="Z_B30CE22D_C12F_4E12_8BB9_3AAE0A6991CC_.wvu.PrintArea" localSheetId="6" hidden="1">Иль!$A$1:$F$103</definedName>
    <definedName name="Z_B30CE22D_C12F_4E12_8BB9_3AAE0A6991CC_.wvu.PrintArea" localSheetId="0" hidden="1">Консол!$A$1:$H$52</definedName>
    <definedName name="Z_B30CE22D_C12F_4E12_8BB9_3AAE0A6991CC_.wvu.PrintArea" localSheetId="8" hidden="1">Мор!$A$1:$F$101</definedName>
    <definedName name="Z_B30CE22D_C12F_4E12_8BB9_3AAE0A6991CC_.wvu.PrintArea" localSheetId="1" hidden="1">Справка!$A$1:$FE$31</definedName>
    <definedName name="Z_B30CE22D_C12F_4E12_8BB9_3AAE0A6991CC_.wvu.PrintArea" localSheetId="5" hidden="1">Сун!$A$1:$F$105</definedName>
    <definedName name="Z_B30CE22D_C12F_4E12_8BB9_3AAE0A6991CC_.wvu.PrintArea" localSheetId="12" hidden="1">Тор!$A$1:$F$101</definedName>
    <definedName name="Z_B30CE22D_C12F_4E12_8BB9_3AAE0A6991CC_.wvu.PrintArea" localSheetId="14" hidden="1">Чум!$A$1:$F$101</definedName>
    <definedName name="Z_B30CE22D_C12F_4E12_8BB9_3AAE0A6991CC_.wvu.PrintArea" localSheetId="16" hidden="1">Юнг!$A$1:$F$100</definedName>
    <definedName name="Z_B30CE22D_C12F_4E12_8BB9_3AAE0A6991CC_.wvu.PrintArea" localSheetId="17" hidden="1">Юсь!$A$1:$F$103</definedName>
    <definedName name="Z_B30CE22D_C12F_4E12_8BB9_3AAE0A6991CC_.wvu.PrintArea" localSheetId="18" hidden="1">Яра!$A$1:$F$102</definedName>
    <definedName name="Z_B30CE22D_C12F_4E12_8BB9_3AAE0A6991CC_.wvu.Rows" localSheetId="4" hidden="1">Але!$19:$24,Але!$28:$28,Але!$36:$36,Але!$45:$46,Але!$53:$53,Але!$55:$57,Але!$63:$64,Але!$74:$75,Але!$79:$83,Але!$86:$93,Але!$142:$142</definedName>
    <definedName name="Z_B30CE22D_C12F_4E12_8BB9_3AAE0A6991CC_.wvu.Rows" localSheetId="6" hidden="1">Иль!$19:$24,Иль!$35:$35,Иль!$40:$40,Иль!$49:$50,Иль!$57:$57,Иль!$59:$61,Иль!$67:$68,Иль!$77:$78,Иль!$80:$80,Иль!$85:$89,Иль!$92:$99,Иль!$142:$142</definedName>
    <definedName name="Z_B30CE22D_C12F_4E12_8BB9_3AAE0A6991CC_.wvu.Rows" localSheetId="7" hidden="1">Кад!$19:$24,Кад!$31:$35,Кад!$38:$38,Кад!$48:$49,Кад!$56:$56,Кад!$58:$60,Кад!$66:$67,Кад!$77:$78,Кад!$82:$86,Кад!$89:$96,Кад!$142:$142</definedName>
    <definedName name="Z_B30CE22D_C12F_4E12_8BB9_3AAE0A6991CC_.wvu.Rows" localSheetId="0" hidden="1">Консол!$22:$22,Консол!$45:$47</definedName>
    <definedName name="Z_B30CE22D_C12F_4E12_8BB9_3AAE0A6991CC_.wvu.Rows" localSheetId="20" hidden="1">Лист1!$82:$84</definedName>
    <definedName name="Z_B30CE22D_C12F_4E12_8BB9_3AAE0A6991CC_.wvu.Rows" localSheetId="8" hidden="1">Мор!$17:$24,Мор!$27:$27,Мор!$31:$33,Мор!$44:$44,Мор!$47:$47,Мор!$49:$50,Мор!$57:$57,Мор!$59:$60,Мор!$64:$65,Мор!$67:$68,Мор!$78:$79,Мор!$83:$88,Мор!$91:$97,Мор!$142:$142</definedName>
    <definedName name="Z_B30CE22D_C12F_4E12_8BB9_3AAE0A6991CC_.wvu.Rows" localSheetId="9" hidden="1">Мос!$19:$24,Мос!$29:$33,Мос!$44:$44,Мос!$58:$58,Мос!$60:$61,Мос!$68:$69,Мос!$79:$80,Мос!$82:$82,Мос!$85:$92,Мос!$95:$102,Мос!$143:$143</definedName>
    <definedName name="Z_B30CE22D_C12F_4E12_8BB9_3AAE0A6991CC_.wvu.Rows" localSheetId="10" hidden="1">Ори!$19:$24,Ори!$32:$36,Ори!$45:$45,Ори!$49:$51,Ори!$58:$58,Ори!$60:$61,Ори!$68:$69,Ори!$79:$80,Ори!$82:$82,Ори!$85:$89,Ори!$92:$99,Ори!$143:$143</definedName>
    <definedName name="Z_B30CE22D_C12F_4E12_8BB9_3AAE0A6991CC_.wvu.Rows" localSheetId="5" hidden="1">Сун!$19:$24,Сун!$35:$37,Сун!$40:$40,Сун!$50:$52,Сун!$55:$55,Сун!$59:$59,Сун!$61:$63,Сун!$69:$70,Сун!$80:$81,Сун!$83:$83,Сун!$86:$86,Сун!$88:$91,Сун!$94:$101,Сун!$143:$143</definedName>
    <definedName name="Z_B30CE22D_C12F_4E12_8BB9_3AAE0A6991CC_.wvu.Rows" localSheetId="11" hidden="1">Сят!$19:$24,Сят!$31:$33,Сят!$38:$38,Сят!$45:$47,Сят!$57:$57,Сят!$59:$60,Сят!$67:$68,Сят!$78:$79,Сят!$83:$87,Сят!$90:$97,Сят!$143:$143</definedName>
    <definedName name="Z_B30CE22D_C12F_4E12_8BB9_3AAE0A6991CC_.wvu.Rows" localSheetId="12" hidden="1">Тор!$19:$24,Тор!$32:$36,Тор!$39:$39,Тор!$50:$50,Тор!$57:$57,Тор!$59:$60,Тор!$67:$68,Тор!$75:$75,Тор!$79:$80,Тор!$86:$87,Тор!$89:$95,Тор!$142:$142</definedName>
    <definedName name="Z_B30CE22D_C12F_4E12_8BB9_3AAE0A6991CC_.wvu.Rows" localSheetId="13" hidden="1">Хор!$19:$22,Хор!$26:$31,Хор!$33:$35,Хор!$39:$39,Хор!$45:$47,Хор!$54:$54,Хор!$56:$58,Хор!$64:$65,Хор!$75:$75,Хор!$80:$84,Хор!$87:$94,Хор!$141:$141</definedName>
    <definedName name="Z_B30CE22D_C12F_4E12_8BB9_3AAE0A6991CC_.wvu.Rows" localSheetId="14" hidden="1">Чум!$19:$24,Чум!$47:$49,Чум!$57:$57,Чум!$59:$61,Чум!$67:$68,Чум!$78:$78,Чум!$83:$87,Чум!$90:$97,Чум!$142:$142</definedName>
    <definedName name="Z_B30CE22D_C12F_4E12_8BB9_3AAE0A6991CC_.wvu.Rows" localSheetId="15" hidden="1">Шать!$19:$25,Шать!$57:$57,Шать!$59:$60,Шать!$67:$67,Шать!$78:$78,Шать!$84:$86,Шать!$90:$97,Шать!$142:$142</definedName>
    <definedName name="Z_B30CE22D_C12F_4E12_8BB9_3AAE0A6991CC_.wvu.Rows" localSheetId="16" hidden="1">Юнг!$19:$24,Юнг!$38:$38,Юнг!$46:$46,Юнг!$56:$56,Юнг!$58:$60,Юнг!$66:$67,Юнг!$77:$77,Юнг!$82:$86,Юнг!$89:$96,Юнг!$142:$142</definedName>
    <definedName name="Z_B30CE22D_C12F_4E12_8BB9_3AAE0A6991CC_.wvu.Rows" localSheetId="17" hidden="1">Юсь!$19:$24,Юсь!$45:$50,Юсь!$59:$59,Юсь!$61:$62,Юсь!$69:$70,Юсь!$80:$80,Юсь!$85:$89,Юсь!$92:$99,Юсь!$143:$143</definedName>
    <definedName name="Z_B30CE22D_C12F_4E12_8BB9_3AAE0A6991CC_.wvu.Rows" localSheetId="18" hidden="1">Яра!$19:$24,Яра!$46:$46,Яра!$48:$50,Яра!$58:$58,Яра!$60:$61,Яра!$68:$69,Яра!$79:$79,Яра!$84:$88,Яра!$91:$98,Яра!$143:$143</definedName>
    <definedName name="Z_B30CE22D_C12F_4E12_8BB9_3AAE0A6991CC_.wvu.Rows" localSheetId="19" hidden="1">Ярос!$19:$24,Ярос!$28:$28,Ярос!$37:$37,Ярос!$44:$44,Ярос!$55:$55,Ярос!$57:$59,Ярос!$65:$66,Ярос!$76:$76,Ярос!$81:$85,Ярос!$88:$91,Ярос!$93:$95</definedName>
    <definedName name="Z_B31C8DB7_3E78_4144_A6B5_8DE36DE63F0E_.wvu.Cols" localSheetId="1" hidden="1">Справка!$BB:$BD,Справка!$BH:$BJ,Справка!$BN:$BS,Справка!$BZ:$CE,Справка!$DD:$DL</definedName>
    <definedName name="Z_B31C8DB7_3E78_4144_A6B5_8DE36DE63F0E_.wvu.PrintArea" localSheetId="6" hidden="1">Иль!$A$1:$F$103</definedName>
    <definedName name="Z_B31C8DB7_3E78_4144_A6B5_8DE36DE63F0E_.wvu.PrintArea" localSheetId="0" hidden="1">Консол!$A$1:$H$52</definedName>
    <definedName name="Z_B31C8DB7_3E78_4144_A6B5_8DE36DE63F0E_.wvu.PrintArea" localSheetId="8" hidden="1">Мор!$A$1:$F$101</definedName>
    <definedName name="Z_B31C8DB7_3E78_4144_A6B5_8DE36DE63F0E_.wvu.PrintArea" localSheetId="1" hidden="1">Справка!$A$1:$FE$31</definedName>
    <definedName name="Z_B31C8DB7_3E78_4144_A6B5_8DE36DE63F0E_.wvu.PrintArea" localSheetId="12" hidden="1">Тор!$A$1:$F$101</definedName>
    <definedName name="Z_B31C8DB7_3E78_4144_A6B5_8DE36DE63F0E_.wvu.PrintArea" localSheetId="16" hidden="1">Юнг!$A$1:$F$100</definedName>
    <definedName name="Z_B31C8DB7_3E78_4144_A6B5_8DE36DE63F0E_.wvu.PrintArea" localSheetId="18" hidden="1">Яра!$A$1:$F$102</definedName>
    <definedName name="Z_B31C8DB7_3E78_4144_A6B5_8DE36DE63F0E_.wvu.Rows" localSheetId="4" hidden="1">Але!$19:$24,Але!$46:$46,Але!$53:$53,Але!$55:$56,Але!$63:$64,Але!$74:$75,Але!$79:$83,Але!$87:$89</definedName>
    <definedName name="Z_B31C8DB7_3E78_4144_A6B5_8DE36DE63F0E_.wvu.Rows" localSheetId="6" hidden="1">Иль!$19:$24,Иль!$34:$34,Иль!$46:$46,Иль!#REF!,Иль!$59:$60,Иль!$67:$68,Иль!$77:$78,Иль!$80:$80,Иль!$92:$96</definedName>
    <definedName name="Z_B31C8DB7_3E78_4144_A6B5_8DE36DE63F0E_.wvu.Rows" localSheetId="7" hidden="1">Кад!$19:$24,Кад!$44:$44,Кад!$56:$56,Кад!$58:$59,Кад!$66:$67,Кад!$83:$85,Кад!$89:$92,Кад!$94:$96</definedName>
    <definedName name="Z_B31C8DB7_3E78_4144_A6B5_8DE36DE63F0E_.wvu.Rows" localSheetId="0" hidden="1">Консол!$22:$22,Консол!$45:$47,Консол!$84:$86</definedName>
    <definedName name="Z_B31C8DB7_3E78_4144_A6B5_8DE36DE63F0E_.wvu.Rows" localSheetId="20" hidden="1">Лист1!$82:$84</definedName>
    <definedName name="Z_B31C8DB7_3E78_4144_A6B5_8DE36DE63F0E_.wvu.Rows" localSheetId="8" hidden="1">Мор!$21:$21,Мор!$23:$23,Мор!$37:$37,Мор!$44:$44,Мор!$47:$47,Мор!$49:$50,Мор!$57:$57,Мор!$59:$60,Мор!$67:$68,Мор!$83:$88,Мор!$91:$97</definedName>
    <definedName name="Z_B31C8DB7_3E78_4144_A6B5_8DE36DE63F0E_.wvu.Rows" localSheetId="9" hidden="1">Мос!$19:$24,Мос!$44:$44,Мос!$58:$58,Мос!$60:$61,Мос!$68:$69,Мос!$82:$82,Мос!$84:$90,Мос!$95:$100</definedName>
    <definedName name="Z_B31C8DB7_3E78_4144_A6B5_8DE36DE63F0E_.wvu.Rows" localSheetId="10" hidden="1">Ори!$19:$24,Ори!$33:$33,Ори!$45:$45,Ори!$49:$51,Ори!$58:$58,Ори!$60:$61,Ори!$68:$69,Ори!$79:$80,Ори!$82:$82,Ори!$84:$88,Ори!$92:$99</definedName>
    <definedName name="Z_B31C8DB7_3E78_4144_A6B5_8DE36DE63F0E_.wvu.Rows" localSheetId="2" hidden="1">район!$19:$19,район!$23:$23,район!$33:$35,район!$57:$58,район!#REF!,район!#REF!,район!#REF!,район!#REF!,район!#REF!</definedName>
    <definedName name="Z_B31C8DB7_3E78_4144_A6B5_8DE36DE63F0E_.wvu.Rows" localSheetId="5" hidden="1">Сун!$19:$24,Сун!$50:$52,Сун!$59:$59,Сун!$61:$62,Сун!$69:$70,Сун!$80:$81,Сун!$83:$83,Сун!$89:$90,Сун!$94:$98</definedName>
    <definedName name="Z_B31C8DB7_3E78_4144_A6B5_8DE36DE63F0E_.wvu.Rows" localSheetId="11" hidden="1">Сят!$19:$19,Сят!$45:$47,Сят!$57:$57,Сят!$59:$60,Сят!$67:$68,Сят!$83:$86,Сят!$90:$97</definedName>
    <definedName name="Z_B31C8DB7_3E78_4144_A6B5_8DE36DE63F0E_.wvu.Rows" localSheetId="12" hidden="1">Тор!$19:$19,Тор!$50:$50,Тор!$57:$57,Тор!$59:$60,Тор!$67:$68,Тор!$75:$75,Тор!$79:$80,Тор!$84:$95</definedName>
    <definedName name="Z_B31C8DB7_3E78_4144_A6B5_8DE36DE63F0E_.wvu.Rows" localSheetId="13" hidden="1">Хор!$19:$22,Хор!$30:$30,Хор!$39:$39,Хор!$54:$54,Хор!$56:$57,Хор!$64:$65,Хор!$80:$84,Хор!$87:$94</definedName>
    <definedName name="Z_B31C8DB7_3E78_4144_A6B5_8DE36DE63F0E_.wvu.Rows" localSheetId="14" hidden="1">Чум!$19:$19,Чум!$21:$21,Чум!$23:$24,Чум!$47:$49,Чум!$57:$57,Чум!$59:$60,Чум!$67:$68,Чум!$83:$87,Чум!$90:$97</definedName>
    <definedName name="Z_B31C8DB7_3E78_4144_A6B5_8DE36DE63F0E_.wvu.Rows" localSheetId="15" hidden="1">Шать!$19:$24,Шать!$47:$49,Шать!$57:$57,Шать!$59:$60,Шать!$67:$68,Шать!$78:$79,Шать!$83:$87,Шать!$90:$97</definedName>
    <definedName name="Z_B31C8DB7_3E78_4144_A6B5_8DE36DE63F0E_.wvu.Rows" localSheetId="16" hidden="1">Юнг!$19:$24,Юнг!$32:$32,Юнг!$56:$56,Юнг!$58:$59,Юнг!$66:$67,Юнг!$82:$86,Юнг!$89:$96</definedName>
    <definedName name="Z_B31C8DB7_3E78_4144_A6B5_8DE36DE63F0E_.wvu.Rows" localSheetId="17" hidden="1">Юсь!$20:$24,Юсь!#REF!,Юсь!$45:$50,Юсь!$69:$70,Юсь!$85:$89,Юсь!$92:$99</definedName>
    <definedName name="Z_B31C8DB7_3E78_4144_A6B5_8DE36DE63F0E_.wvu.Rows" localSheetId="18" hidden="1">Яра!$19:$24,Яра!$46:$46,Яра!$48:$50,Яра!$58:$58,Яра!$60:$61,Яра!$68:$69,Яра!$79:$79,Яра!$84:$88,Яра!$91:$98</definedName>
    <definedName name="Z_B31C8DB7_3E78_4144_A6B5_8DE36DE63F0E_.wvu.Rows" localSheetId="19" hidden="1">Ярос!$19:$24,Ярос!$55:$55,Ярос!$57:$58,Ярос!$65:$66,Ярос!$76:$77,Ярос!$81:$86,Ярос!$88:$95</definedName>
    <definedName name="Z_F1E84C44_1ACD_474A_BDE0_C7088DB6C590_.wvu.Cols" localSheetId="1" hidden="1">Справка!$BB:$BD,Справка!$BH:$BJ,Справка!$BN:$BP,Справка!$BR:$BS,Справка!$BZ:$CE,Справка!$DD:$DL</definedName>
    <definedName name="Z_F1E84C44_1ACD_474A_BDE0_C7088DB6C590_.wvu.PrintArea" localSheetId="4" hidden="1">Але!$A$1:$F$97</definedName>
    <definedName name="Z_F1E84C44_1ACD_474A_BDE0_C7088DB6C590_.wvu.PrintArea" localSheetId="6" hidden="1">Иль!$A$1:$F$103</definedName>
    <definedName name="Z_F1E84C44_1ACD_474A_BDE0_C7088DB6C590_.wvu.PrintArea" localSheetId="0" hidden="1">Консол!$A$1:$H$52</definedName>
    <definedName name="Z_F1E84C44_1ACD_474A_BDE0_C7088DB6C590_.wvu.PrintArea" localSheetId="8" hidden="1">Мор!$A$1:$F$101</definedName>
    <definedName name="Z_F1E84C44_1ACD_474A_BDE0_C7088DB6C590_.wvu.PrintArea" localSheetId="2" hidden="1">район!$A$1:$G$202</definedName>
    <definedName name="Z_F1E84C44_1ACD_474A_BDE0_C7088DB6C590_.wvu.PrintArea" localSheetId="1" hidden="1">Справка!$A$1:$FE$31</definedName>
    <definedName name="Z_F1E84C44_1ACD_474A_BDE0_C7088DB6C590_.wvu.PrintArea" localSheetId="5" hidden="1">Сун!$A$1:$F$105</definedName>
    <definedName name="Z_F1E84C44_1ACD_474A_BDE0_C7088DB6C590_.wvu.PrintArea" localSheetId="12" hidden="1">Тор!$A$1:$F$101</definedName>
    <definedName name="Z_F1E84C44_1ACD_474A_BDE0_C7088DB6C590_.wvu.PrintArea" localSheetId="16" hidden="1">Юнг!$A$1:$F$100</definedName>
    <definedName name="Z_F1E84C44_1ACD_474A_BDE0_C7088DB6C590_.wvu.PrintArea" localSheetId="18" hidden="1">Яра!$A$1:$F$102</definedName>
    <definedName name="Z_F1E84C44_1ACD_474A_BDE0_C7088DB6C590_.wvu.Rows" localSheetId="4" hidden="1">Але!$19:$24,Але!$28:$28,Але!$40:$40,Але!$55:$56,Але!$63:$64,Але!$69:$70,Але!$74:$74,Але!$79:$82,Але!$86:$93,Але!$142:$142</definedName>
    <definedName name="Z_F1E84C44_1ACD_474A_BDE0_C7088DB6C590_.wvu.Rows" localSheetId="6" hidden="1">Иль!$19:$23,Иль!$35:$35,Иль!$38:$38,Иль!$44:$44,Иль!$46:$46,Иль!$50:$50,Иль!$57:$57,Иль!$59:$61,Иль!$67:$68,Иль!$74:$74,Иль!$77:$78,Иль!$80:$80,Иль!$85:$89,Иль!$92:$99,Иль!$142:$142</definedName>
    <definedName name="Z_F1E84C44_1ACD_474A_BDE0_C7088DB6C590_.wvu.Rows" localSheetId="7" hidden="1">Кад!$19:$24,Кад!$31:$33,Кад!$38:$38,Кад!$42:$42,Кад!$44:$44,Кад!$48:$48,Кад!$56:$56,Кад!$58:$60,Кад!$66:$67,Кад!$72:$72,Кад!$77:$77,Кад!$82:$86,Кад!$89:$96,Кад!$142:$142</definedName>
    <definedName name="Z_F1E84C44_1ACD_474A_BDE0_C7088DB6C590_.wvu.Rows" localSheetId="0" hidden="1">Консол!$45:$47</definedName>
    <definedName name="Z_F1E84C44_1ACD_474A_BDE0_C7088DB6C590_.wvu.Rows" localSheetId="20" hidden="1">Лист1!$82:$84</definedName>
    <definedName name="Z_F1E84C44_1ACD_474A_BDE0_C7088DB6C590_.wvu.Rows" localSheetId="8" hidden="1">Мор!$17:$24,Мор!$27:$27,Мор!$44:$44,Мор!$47:$47,Мор!$57:$57,Мор!$59:$61,Мор!$64:$65,Мор!$67:$68,Мор!$78:$78,Мор!$83:$88,Мор!$91:$97,Мор!$142:$142</definedName>
    <definedName name="Z_F1E84C44_1ACD_474A_BDE0_C7088DB6C590_.wvu.Rows" localSheetId="9" hidden="1">Мос!$19:$24,Мос!$42:$42,Мос!$44:$44,Мос!$48:$48,Мос!$50:$50,Мос!$58:$58,Мос!$60:$61,Мос!$68:$69,Мос!$74:$75,Мос!$79:$79,Мос!$82:$82,Мос!$85:$85,Мос!$87:$87,Мос!$89:$89,Мос!$92:$92,Мос!$95:$102,Мос!$143:$143</definedName>
    <definedName name="Z_F1E84C44_1ACD_474A_BDE0_C7088DB6C590_.wvu.Rows" localSheetId="10" hidden="1">Ори!$19:$24,Ори!$43:$43,Ори!$45:$45,Ори!$49:$51,Ори!$58:$58,Ори!$60:$61,Ори!$68:$69,Ори!$75:$75,Ори!$79:$79,Ори!$82:$82,Ори!$85:$89,Ори!$92:$99,Ори!$143:$143</definedName>
    <definedName name="Z_F1E84C44_1ACD_474A_BDE0_C7088DB6C590_.wvu.Rows" localSheetId="5" hidden="1">Сун!$19:$24,Сун!$44:$44,Сун!$46:$46,Сун!$50:$52,Сун!$59:$59,Сун!$61:$62,Сун!$69:$70,Сун!$80:$80,Сун!$83:$83,Сун!$86:$86,Сун!$88:$90,Сун!$94:$101,Сун!$143:$143</definedName>
    <definedName name="Z_F1E84C44_1ACD_474A_BDE0_C7088DB6C590_.wvu.Rows" localSheetId="11" hidden="1">Сят!$19:$24,Сят!$38:$38,Сят!$45:$47,Сят!$57:$57,Сят!$59:$60,Сят!$67:$68,Сят!$78:$78,Сят!$83:$87,Сят!$90:$97,Сят!$143:$143</definedName>
    <definedName name="Z_F1E84C44_1ACD_474A_BDE0_C7088DB6C590_.wvu.Rows" localSheetId="12" hidden="1">Тор!$19:$24,Тор!$39:$39,Тор!$43:$43,Тор!$47:$47,Тор!$49:$49,Тор!$57:$57,Тор!$59:$60,Тор!$67:$68,Тор!$73:$73,Тор!$75:$75,Тор!$79:$79,Тор!$87:$95,Тор!$142:$142</definedName>
    <definedName name="Z_F1E84C44_1ACD_474A_BDE0_C7088DB6C590_.wvu.Rows" localSheetId="13" hidden="1">Хор!$20:$22,Хор!$26:$26,Хор!$39:$39,Хор!$45:$47,Хор!$54:$54,Хор!$56:$57,Хор!$64:$65,Хор!$70:$71,Хор!$75:$75,Хор!$80:$84,Хор!$87:$94,Хор!$141:$141</definedName>
    <definedName name="Z_F1E84C44_1ACD_474A_BDE0_C7088DB6C590_.wvu.Rows" localSheetId="14" hidden="1">Чум!$19:$19,Чум!$21:$21,Чум!$24:$24,Чум!$43:$43,Чум!$47:$49,Чум!$57:$57,Чум!$59:$60,Чум!$67:$68,Чум!$78:$78,Чум!$83:$87,Чум!$90:$97,Чум!$142:$142</definedName>
    <definedName name="Z_F1E84C44_1ACD_474A_BDE0_C7088DB6C590_.wvu.Rows" localSheetId="15" hidden="1">Шать!$19:$25,Шать!$35:$36,Шать!$47:$49,Шать!$57:$57,Шать!$59:$60,Шать!$67:$68,Шать!$74:$74,Шать!$78:$78,Шать!$84:$86,Шать!$90:$97,Шать!$142:$142</definedName>
    <definedName name="Z_F1E84C44_1ACD_474A_BDE0_C7088DB6C590_.wvu.Rows" localSheetId="16" hidden="1">Юнг!$19:$24,Юнг!$38:$38,Юнг!$42:$42,Юнг!$46:$46,Юнг!$56:$56,Юнг!$58:$59,Юнг!$66:$67,Юнг!$77:$77,Юнг!$82:$86,Юнг!$89:$96,Юнг!$142:$142</definedName>
    <definedName name="Z_F1E84C44_1ACD_474A_BDE0_C7088DB6C590_.wvu.Rows" localSheetId="17" hidden="1">Юсь!$19:$24,Юсь!$45:$50,Юсь!$59:$59,Юсь!$61:$62,Юсь!$69:$70,Юсь!$85:$89,Юсь!$92:$99,Юсь!$143:$143</definedName>
    <definedName name="Z_F1E84C44_1ACD_474A_BDE0_C7088DB6C590_.wvu.Rows" localSheetId="18" hidden="1">Яра!$19:$24,Яра!$28:$29,Яра!$48:$49,Яра!$58:$58,Яра!$60:$61,Яра!$68:$69,Яра!$75:$75,Яра!$79:$79,Яра!$84:$88,Яра!$91:$98,Яра!$143:$143</definedName>
    <definedName name="Z_F1E84C44_1ACD_474A_BDE0_C7088DB6C590_.wvu.Rows" localSheetId="19" hidden="1">Ярос!$19:$24,Ярос!$28:$28,Ярос!$41:$41,Ярос!$44:$44,Ярос!$47:$48,Ярос!$55:$55,Ярос!$57:$58,Ярос!$65:$66,Ярос!$71:$71,Ярос!$76:$76,Ярос!$83:$85,Ярос!$88:$95</definedName>
    <definedName name="Z_F85EE840_0C31_454A_8951_832C2E9E0600_.wvu.Cols" localSheetId="1" hidden="1">Справка!$BB:$BD,Справка!$BH:$BJ,Справка!$BN:$BP,Справка!$BR:$BS,Справка!$BZ:$CE,Справка!$DD:$DL</definedName>
    <definedName name="Z_F85EE840_0C31_454A_8951_832C2E9E0600_.wvu.PrintArea" localSheetId="4" hidden="1">Але!$A$1:$F$97</definedName>
    <definedName name="Z_F85EE840_0C31_454A_8951_832C2E9E0600_.wvu.PrintArea" localSheetId="6" hidden="1">Иль!$A$1:$F$103</definedName>
    <definedName name="Z_F85EE840_0C31_454A_8951_832C2E9E0600_.wvu.PrintArea" localSheetId="0" hidden="1">Консол!$A$1:$H$52</definedName>
    <definedName name="Z_F85EE840_0C31_454A_8951_832C2E9E0600_.wvu.PrintArea" localSheetId="8" hidden="1">Мор!$A$1:$F$101</definedName>
    <definedName name="Z_F85EE840_0C31_454A_8951_832C2E9E0600_.wvu.PrintArea" localSheetId="2" hidden="1">район!$A$1:$G$202</definedName>
    <definedName name="Z_F85EE840_0C31_454A_8951_832C2E9E0600_.wvu.PrintArea" localSheetId="1" hidden="1">Справка!$A$1:$FE$31</definedName>
    <definedName name="Z_F85EE840_0C31_454A_8951_832C2E9E0600_.wvu.PrintArea" localSheetId="5" hidden="1">Сун!$A$1:$F$105</definedName>
    <definedName name="Z_F85EE840_0C31_454A_8951_832C2E9E0600_.wvu.PrintArea" localSheetId="12" hidden="1">Тор!$A$1:$F$101</definedName>
    <definedName name="Z_F85EE840_0C31_454A_8951_832C2E9E0600_.wvu.PrintArea" localSheetId="16" hidden="1">Юнг!$A$1:$F$100</definedName>
    <definedName name="Z_F85EE840_0C31_454A_8951_832C2E9E0600_.wvu.PrintArea" localSheetId="18" hidden="1">Яра!$A$1:$F$102</definedName>
    <definedName name="Z_F85EE840_0C31_454A_8951_832C2E9E0600_.wvu.Rows" localSheetId="4" hidden="1">Але!$19:$24,Але!$28:$28,Але!$36:$36,Але!$40:$40,Але!$55:$56,Але!$63:$64,Але!$69:$70,Але!$74:$74,Але!$79:$82,Але!$86:$93,Але!$142:$142</definedName>
    <definedName name="Z_F85EE840_0C31_454A_8951_832C2E9E0600_.wvu.Rows" localSheetId="7" hidden="1">Кад!$19:$24,Кад!$31:$33,Кад!$38:$38,Кад!$42:$42,Кад!$44:$44,Кад!$48:$48,Кад!$56:$56,Кад!$58:$60,Кад!$66:$67,Кад!$72:$72,Кад!$77:$77,Кад!$82:$86,Кад!$89:$96,Кад!$142:$142</definedName>
    <definedName name="Z_F85EE840_0C31_454A_8951_832C2E9E0600_.wvu.Rows" localSheetId="0" hidden="1">Консол!$45:$47</definedName>
    <definedName name="Z_F85EE840_0C31_454A_8951_832C2E9E0600_.wvu.Rows" localSheetId="20" hidden="1">Лист1!$82:$84</definedName>
    <definedName name="Z_F85EE840_0C31_454A_8951_832C2E9E0600_.wvu.Rows" localSheetId="8" hidden="1">Мор!$17:$24,Мор!$27:$27,Мор!$44:$44,Мор!$47:$47,Мор!$57:$57,Мор!$59:$61,Мор!$64:$65,Мор!$67:$68,Мор!$78:$78,Мор!$83:$88,Мор!$91:$97,Мор!$142:$142</definedName>
    <definedName name="Z_F85EE840_0C31_454A_8951_832C2E9E0600_.wvu.Rows" localSheetId="9" hidden="1">Мос!$19:$24,Мос!$42:$42,Мос!$44:$44,Мос!$48:$48,Мос!$50:$50,Мос!$58:$58,Мос!$60:$61,Мос!$68:$69,Мос!$74:$75,Мос!$82:$82,Мос!$85:$92,Мос!$95:$102,Мос!$143:$143</definedName>
    <definedName name="Z_F85EE840_0C31_454A_8951_832C2E9E0600_.wvu.Rows" localSheetId="10" hidden="1">Ори!$19:$24,Ори!$45:$45,Ори!$49:$51,Ори!$58:$58,Ори!$60:$61,Ори!$68:$69,Ори!$79:$79,Ори!$82:$82,Ори!$85:$89,Ори!$92:$99,Ори!$143:$143</definedName>
    <definedName name="Z_F85EE840_0C31_454A_8951_832C2E9E0600_.wvu.Rows" localSheetId="5" hidden="1">Сун!$19:$24,Сун!$44:$44,Сун!$46:$46,Сун!$50:$52,Сун!$59:$59,Сун!$61:$62,Сун!$69:$70,Сун!$76:$76,Сун!$80:$80,Сун!$83:$83,Сун!$86:$86,Сун!$88:$90,Сун!$94:$101,Сун!$143:$143</definedName>
    <definedName name="Z_F85EE840_0C31_454A_8951_832C2E9E0600_.wvu.Rows" localSheetId="11" hidden="1">Сят!$19:$24,Сят!$38:$38,Сят!$45:$47,Сят!$57:$57,Сят!$59:$60,Сят!$67:$68,Сят!$78:$78,Сят!$83:$87,Сят!$90:$97,Сят!$143:$143</definedName>
    <definedName name="Z_F85EE840_0C31_454A_8951_832C2E9E0600_.wvu.Rows" localSheetId="12" hidden="1">Тор!$19:$24,Тор!$39:$39,Тор!$43:$43,Тор!$47:$47,Тор!$49:$49,Тор!$57:$57,Тор!$59:$60,Тор!$67:$68,Тор!$73:$73,Тор!$75:$75,Тор!$79:$79,Тор!$87:$95,Тор!$142:$142</definedName>
    <definedName name="Z_F85EE840_0C31_454A_8951_832C2E9E0600_.wvu.Rows" localSheetId="13" hidden="1">Хор!$20:$22,Хор!$26:$31,Хор!$39:$39,Хор!$45:$47,Хор!$54:$54,Хор!$56:$57,Хор!$64:$65,Хор!$70:$71,Хор!$75:$75,Хор!$80:$84,Хор!$87:$94,Хор!$141:$141</definedName>
    <definedName name="Z_F85EE840_0C31_454A_8951_832C2E9E0600_.wvu.Rows" localSheetId="14" hidden="1">Чум!$19:$19,Чум!$21:$21,Чум!$24:$24,Чум!$43:$43,Чум!$47:$49,Чум!$57:$57,Чум!$59:$60,Чум!$67:$68,Чум!$78:$78,Чум!$83:$87,Чум!$90:$97,Чум!$142:$142</definedName>
    <definedName name="Z_F85EE840_0C31_454A_8951_832C2E9E0600_.wvu.Rows" localSheetId="15" hidden="1">Шать!$19:$25,Шать!$35:$36,Шать!$38:$38,Шать!$47:$49,Шать!$57:$57,Шать!$59:$60,Шать!$67:$68,Шать!$74:$74,Шать!$78:$78,Шать!$84:$86,Шать!$90:$97,Шать!$142:$142</definedName>
    <definedName name="Z_F85EE840_0C31_454A_8951_832C2E9E0600_.wvu.Rows" localSheetId="16" hidden="1">Юнг!$19:$24,Юнг!$38:$38,Юнг!$42:$42,Юнг!$46:$46,Юнг!$56:$56,Юнг!$58:$59,Юнг!$66:$67,Юнг!$77:$77,Юнг!$82:$86,Юнг!$89:$96,Юнг!$142:$142</definedName>
    <definedName name="Z_F85EE840_0C31_454A_8951_832C2E9E0600_.wvu.Rows" localSheetId="17" hidden="1">Юсь!$19:$24,Юсь!$38:$38,Юсь!$45:$50,Юсь!$59:$59,Юсь!$61:$62,Юсь!$69:$70,Юсь!$75:$76,Юсь!$85:$89,Юсь!$92:$99,Юсь!$143:$143</definedName>
    <definedName name="Z_F85EE840_0C31_454A_8951_832C2E9E0600_.wvu.Rows" localSheetId="18" hidden="1">Яра!$19:$24,Яра!$28:$29,Яра!$33:$33,Яра!$36:$36,Яра!$38:$38,Яра!$43:$43,Яра!$48:$49,Яра!$51:$51,Яра!$58:$58,Яра!$60:$61,Яра!$68:$69,Яра!$75:$75,Яра!$79:$79,Яра!$84:$88,Яра!$91:$98,Яра!$143:$143</definedName>
    <definedName name="Z_F85EE840_0C31_454A_8951_832C2E9E0600_.wvu.Rows" localSheetId="19" hidden="1">Ярос!$19:$24,Ярос!$28:$28,Ярос!$41:$41,Ярос!$44:$44,Ярос!$47:$48,Ярос!$55:$55,Ярос!$57:$58,Ярос!$65:$66,Ярос!$76:$76,Ярос!$83:$85,Ярос!$88:$95</definedName>
    <definedName name="_xlnm.Print_Area" localSheetId="4">Але!$A$1:$F$97</definedName>
    <definedName name="_xlnm.Print_Area" localSheetId="6">Иль!$A$1:$F$103</definedName>
    <definedName name="_xlnm.Print_Area" localSheetId="0">Консол!$A$1:$H$52</definedName>
    <definedName name="_xlnm.Print_Area" localSheetId="8">Мор!$A$1:$F$101</definedName>
    <definedName name="_xlnm.Print_Area" localSheetId="2">район!$A$1:$G$202</definedName>
    <definedName name="_xlnm.Print_Area" localSheetId="1">Справка!$A$1:$FE$31</definedName>
    <definedName name="_xlnm.Print_Area" localSheetId="5">Сун!$A$1:$F$105</definedName>
    <definedName name="_xlnm.Print_Area" localSheetId="12">Тор!$A$1:$F$101</definedName>
    <definedName name="_xlnm.Print_Area" localSheetId="16">Юнг!$A$1:$F$100</definedName>
    <definedName name="_xlnm.Print_Area" localSheetId="18">Яра!$A$1:$F$102</definedName>
  </definedNames>
  <calcPr calcId="162913"/>
  <customWorkbookViews>
    <customWorkbookView name="Семенов Николай Юрьевич - Личное представление" guid="{4D5E6ACC-9055-4DE9-8C20-9052F3C35D19}" mergeInterval="0" personalView="1" maximized="1" xWindow="-8" yWindow="-8" windowWidth="1936" windowHeight="1056" tabRatio="695" activeSheetId="3"/>
    <customWorkbookView name="Алина Валерьевна Васильева - Личное представление" guid="{5C539BE6-C8E0-453F-AB5E-9E58094195EA}" mergeInterval="0" personalView="1" maximized="1" xWindow="-8" yWindow="-8" windowWidth="1936" windowHeight="1056" tabRatio="695" activeSheetId="2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morgau_fin4 - Личное представление" guid="{1A52382B-3765-4E8C-903F-6B8919B7242E}" mergeInterval="0" personalView="1" maximized="1" xWindow="1" yWindow="1" windowWidth="1916" windowHeight="850" tabRatio="695" activeSheetId="12"/>
    <customWorkbookView name="morgau_fin5 - Личное представление" guid="{B31C8DB7-3E78-4144-A6B5-8DE36DE63F0E}" mergeInterval="0" personalView="1" maximized="1" xWindow="1" yWindow="1" windowWidth="1916" windowHeight="850" tabRatio="695" activeSheetId="1"/>
    <customWorkbookView name="morgau_fin7 - Личное представление" guid="{5BFCA170-DEAE-4D2C-98A0-1E68B427AC01}" mergeInterval="0" personalView="1" maximized="1" xWindow="1" yWindow="1" windowWidth="1916" windowHeight="850" tabRatio="695" activeSheetId="1"/>
    <customWorkbookView name="morgau_fin2 - Личное представление" guid="{B30CE22D-C12F-4E12-8BB9-3AAE0A6991CC}" mergeInterval="0" personalView="1" maximized="1" xWindow="1" yWindow="1" windowWidth="1916" windowHeight="850" tabRatio="695" activeSheetId="1"/>
    <customWorkbookView name="Admin - Личное представление" guid="{1718F1EE-9F48-4DBE-9531-3B70F9C4A5DD}" mergeInterval="0" personalView="1" maximized="1" xWindow="1" yWindow="1" windowWidth="1280" windowHeight="804" tabRatio="695" activeSheetId="6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Данилова Нина Алексеевна - Личное представление" guid="{F85EE840-0C31-454A-8951-832C2E9E0600}" mergeInterval="0" personalView="1" maximized="1" xWindow="-8" yWindow="-8" windowWidth="1936" windowHeight="1056" tabRatio="695" activeSheetId="3"/>
    <customWorkbookView name="Смирнова Любовь Юрьевна - Личное представление" guid="{F1E84C44-1ACD-474A-BDE0-C7088DB6C590}" mergeInterval="0" personalView="1" minimized="1" windowWidth="0" windowHeight="0" tabRatio="695" activeSheetId="3"/>
    <customWorkbookView name="morgau_fin3 - Личное представление" guid="{61528DAC-5C4C-48F4-ADE2-8A724B05A086}" mergeInterval="0" personalView="1" maximized="1" xWindow="1" yWindow="1" windowWidth="1916" windowHeight="850" tabRatio="695" activeSheetId="3"/>
  </customWorkbookViews>
</workbook>
</file>

<file path=xl/calcChain.xml><?xml version="1.0" encoding="utf-8"?>
<calcChain xmlns="http://schemas.openxmlformats.org/spreadsheetml/2006/main">
  <c r="F108" i="3" l="1"/>
  <c r="G87" i="3"/>
  <c r="C179" i="3"/>
  <c r="F179" i="3" l="1"/>
  <c r="G102" i="3"/>
  <c r="D189" i="3"/>
  <c r="C189" i="3"/>
  <c r="C121" i="3"/>
  <c r="D121" i="3"/>
  <c r="D23" i="3"/>
  <c r="F189" i="3"/>
  <c r="F148" i="3"/>
  <c r="F143" i="3"/>
  <c r="G107" i="3" l="1"/>
  <c r="G109" i="3"/>
  <c r="G110" i="3"/>
  <c r="G111" i="3"/>
  <c r="G112" i="3"/>
  <c r="G113" i="3"/>
  <c r="G114" i="3"/>
  <c r="G115" i="3"/>
  <c r="G116" i="3"/>
  <c r="G117" i="3"/>
  <c r="G118" i="3"/>
  <c r="G119" i="3"/>
  <c r="G120" i="3"/>
  <c r="G191" i="3"/>
  <c r="G192" i="3"/>
  <c r="G193" i="3"/>
  <c r="G198" i="3"/>
  <c r="G173" i="3"/>
  <c r="G174" i="3"/>
  <c r="G175" i="3"/>
  <c r="G176" i="3"/>
  <c r="G177" i="3"/>
  <c r="G178" i="3"/>
  <c r="G180" i="3"/>
  <c r="G181" i="3"/>
  <c r="G170" i="3"/>
  <c r="G169" i="3"/>
  <c r="G165" i="3"/>
  <c r="G164" i="3"/>
  <c r="G163" i="3"/>
  <c r="G154" i="3"/>
  <c r="G155" i="3"/>
  <c r="G156" i="3"/>
  <c r="G157" i="3"/>
  <c r="G158" i="3"/>
  <c r="G160" i="3"/>
  <c r="G161" i="3"/>
  <c r="G162" i="3"/>
  <c r="G135" i="3"/>
  <c r="G136" i="3"/>
  <c r="G137" i="3"/>
  <c r="G138" i="3"/>
  <c r="G139" i="3"/>
  <c r="G140" i="3"/>
  <c r="G141" i="3"/>
  <c r="G142" i="3"/>
  <c r="G145" i="3"/>
  <c r="G146" i="3"/>
  <c r="G147" i="3"/>
  <c r="G149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00" i="3"/>
  <c r="G134" i="3"/>
  <c r="E15" i="3"/>
  <c r="E170" i="3"/>
  <c r="E161" i="3"/>
  <c r="E157" i="3"/>
  <c r="E156" i="3"/>
  <c r="E140" i="3"/>
  <c r="E128" i="3"/>
  <c r="E163" i="3"/>
  <c r="E164" i="3"/>
  <c r="E165" i="3"/>
  <c r="E154" i="3"/>
  <c r="E155" i="3"/>
  <c r="E160" i="3"/>
  <c r="E150" i="3"/>
  <c r="E151" i="3"/>
  <c r="E152" i="3"/>
  <c r="C23" i="3"/>
  <c r="E191" i="3"/>
  <c r="D20" i="3"/>
  <c r="F121" i="3"/>
  <c r="F53" i="3" l="1"/>
  <c r="G56" i="3"/>
  <c r="D53" i="3" l="1"/>
  <c r="C53" i="3"/>
  <c r="E56" i="3"/>
  <c r="E102" i="3"/>
  <c r="E193" i="3"/>
  <c r="E183" i="3"/>
  <c r="E182" i="3"/>
  <c r="C134" i="3"/>
  <c r="E131" i="3"/>
  <c r="E104" i="3"/>
  <c r="E103" i="3"/>
  <c r="E90" i="3"/>
  <c r="E120" i="3"/>
  <c r="E119" i="3"/>
  <c r="E118" i="3"/>
  <c r="D108" i="3"/>
  <c r="G108" i="3" s="1"/>
  <c r="C108" i="3"/>
  <c r="F171" i="3" l="1"/>
  <c r="D171" i="3"/>
  <c r="C171" i="3"/>
  <c r="C148" i="3"/>
  <c r="E100" i="3"/>
  <c r="E169" i="3"/>
  <c r="E175" i="3"/>
  <c r="E174" i="3"/>
  <c r="E173" i="3"/>
  <c r="G143" i="3"/>
  <c r="E187" i="3"/>
  <c r="E186" i="3"/>
  <c r="E185" i="3"/>
  <c r="E134" i="3"/>
  <c r="E135" i="3"/>
  <c r="E136" i="3"/>
  <c r="E137" i="3"/>
  <c r="E138" i="3"/>
  <c r="E139" i="3"/>
  <c r="E141" i="3"/>
  <c r="E126" i="3"/>
  <c r="E127" i="3"/>
  <c r="E129" i="3"/>
  <c r="E130" i="3"/>
  <c r="E132" i="3"/>
  <c r="E117" i="3"/>
  <c r="E112" i="3"/>
  <c r="E113" i="3"/>
  <c r="E114" i="3"/>
  <c r="E115" i="3"/>
  <c r="E111" i="3"/>
  <c r="E110" i="3"/>
  <c r="E109" i="3"/>
  <c r="E116" i="3"/>
  <c r="D98" i="3"/>
  <c r="F98" i="3"/>
  <c r="E123" i="3"/>
  <c r="F26" i="3" l="1"/>
  <c r="G25" i="3" l="1"/>
  <c r="G24" i="3"/>
  <c r="G22" i="3"/>
  <c r="G21" i="3"/>
  <c r="E108" i="3"/>
  <c r="C98" i="3"/>
  <c r="D18" i="3"/>
  <c r="C20" i="3"/>
  <c r="C18" i="3" s="1"/>
  <c r="E22" i="3"/>
  <c r="E21" i="3"/>
  <c r="E25" i="3"/>
  <c r="E24" i="3"/>
  <c r="E107" i="3"/>
  <c r="F93" i="3" l="1"/>
  <c r="F91" i="3"/>
  <c r="F82" i="3"/>
  <c r="F18" i="3" l="1"/>
  <c r="F13" i="3"/>
  <c r="F8" i="3"/>
  <c r="F6" i="3"/>
  <c r="F38" i="3"/>
  <c r="F32" i="3"/>
  <c r="F28" i="3"/>
  <c r="F5" i="3" l="1"/>
  <c r="D38" i="3"/>
  <c r="F48" i="3" l="1"/>
  <c r="C69" i="3" l="1"/>
  <c r="E83" i="3"/>
  <c r="E84" i="3"/>
  <c r="E85" i="3"/>
  <c r="E86" i="3"/>
  <c r="E87" i="3"/>
  <c r="E88" i="3"/>
  <c r="E89" i="3"/>
  <c r="E92" i="3"/>
  <c r="E94" i="3"/>
  <c r="E95" i="3"/>
  <c r="E96" i="3"/>
  <c r="E97" i="3"/>
  <c r="E99" i="3"/>
  <c r="E101" i="3"/>
  <c r="E105" i="3"/>
  <c r="E106" i="3"/>
  <c r="E122" i="3"/>
  <c r="E125" i="3"/>
  <c r="E133" i="3"/>
  <c r="E142" i="3"/>
  <c r="E145" i="3"/>
  <c r="E149" i="3"/>
  <c r="E153" i="3"/>
  <c r="E162" i="3"/>
  <c r="E166" i="3"/>
  <c r="E167" i="3"/>
  <c r="E168" i="3"/>
  <c r="E172" i="3"/>
  <c r="E178" i="3"/>
  <c r="E180" i="3"/>
  <c r="E181" i="3"/>
  <c r="E184" i="3"/>
  <c r="E188" i="3"/>
  <c r="E190" i="3"/>
  <c r="E192" i="3"/>
  <c r="G83" i="3"/>
  <c r="G84" i="3"/>
  <c r="G85" i="3"/>
  <c r="G86" i="3"/>
  <c r="G89" i="3"/>
  <c r="G92" i="3"/>
  <c r="G94" i="3"/>
  <c r="G95" i="3"/>
  <c r="G96" i="3"/>
  <c r="G97" i="3"/>
  <c r="G99" i="3"/>
  <c r="G101" i="3"/>
  <c r="G105" i="3"/>
  <c r="G106" i="3"/>
  <c r="G153" i="3"/>
  <c r="G166" i="3"/>
  <c r="G167" i="3"/>
  <c r="G168" i="3"/>
  <c r="G172" i="3"/>
  <c r="G184" i="3"/>
  <c r="G188" i="3"/>
  <c r="G190" i="3"/>
  <c r="F69" i="3"/>
  <c r="E7" i="3"/>
  <c r="E9" i="3"/>
  <c r="E10" i="3"/>
  <c r="E11" i="3"/>
  <c r="E12" i="3"/>
  <c r="E14" i="3"/>
  <c r="E16" i="3"/>
  <c r="E17" i="3"/>
  <c r="E19" i="3"/>
  <c r="E20" i="3"/>
  <c r="E23" i="3"/>
  <c r="E27" i="3"/>
  <c r="E29" i="3"/>
  <c r="E30" i="3"/>
  <c r="E36" i="3"/>
  <c r="E41" i="3"/>
  <c r="E42" i="3"/>
  <c r="E43" i="3"/>
  <c r="E45" i="3"/>
  <c r="E47" i="3"/>
  <c r="E49" i="3"/>
  <c r="E51" i="3"/>
  <c r="E54" i="3"/>
  <c r="E55" i="3"/>
  <c r="E60" i="3"/>
  <c r="E61" i="3"/>
  <c r="E63" i="3"/>
  <c r="E64" i="3"/>
  <c r="E67" i="3"/>
  <c r="E70" i="3"/>
  <c r="E72" i="3"/>
  <c r="E73" i="3"/>
  <c r="E74" i="3"/>
  <c r="G7" i="3"/>
  <c r="G9" i="3"/>
  <c r="G10" i="3"/>
  <c r="G11" i="3"/>
  <c r="G12" i="3"/>
  <c r="G14" i="3"/>
  <c r="G15" i="3"/>
  <c r="G16" i="3"/>
  <c r="G17" i="3"/>
  <c r="G19" i="3"/>
  <c r="G20" i="3"/>
  <c r="G23" i="3"/>
  <c r="G27" i="3"/>
  <c r="G29" i="3"/>
  <c r="G30" i="3"/>
  <c r="G36" i="3"/>
  <c r="G39" i="3"/>
  <c r="G41" i="3"/>
  <c r="G42" i="3"/>
  <c r="G43" i="3"/>
  <c r="G45" i="3"/>
  <c r="G47" i="3"/>
  <c r="G49" i="3"/>
  <c r="G51" i="3"/>
  <c r="G54" i="3"/>
  <c r="G55" i="3"/>
  <c r="G60" i="3"/>
  <c r="G61" i="3"/>
  <c r="G63" i="3"/>
  <c r="G70" i="3"/>
  <c r="G72" i="3"/>
  <c r="G77" i="3"/>
  <c r="F50" i="3"/>
  <c r="F65" i="3"/>
  <c r="F59" i="3"/>
  <c r="F57" i="3"/>
  <c r="F199" i="3" l="1"/>
  <c r="F37" i="3"/>
  <c r="F68" i="3" s="1"/>
  <c r="C26" i="19" l="1"/>
  <c r="G10" i="1"/>
  <c r="D10" i="1" s="1"/>
  <c r="F10" i="1"/>
  <c r="C10" i="1" s="1"/>
  <c r="F9" i="1"/>
  <c r="C9" i="1" s="1"/>
  <c r="G8" i="1"/>
  <c r="D8" i="1" s="1"/>
  <c r="F8" i="1"/>
  <c r="C8" i="1" s="1"/>
  <c r="D25" i="1"/>
  <c r="D22" i="1"/>
  <c r="C22" i="1"/>
  <c r="D21" i="1"/>
  <c r="C26" i="1"/>
  <c r="C25" i="1"/>
  <c r="F78" i="3" l="1"/>
  <c r="F79" i="3" s="1"/>
  <c r="D27" i="1"/>
  <c r="D148" i="3"/>
  <c r="G148" i="3" s="1"/>
  <c r="C34" i="19"/>
  <c r="D66" i="12"/>
  <c r="D67" i="9"/>
  <c r="E49" i="8"/>
  <c r="F49" i="8"/>
  <c r="C34" i="4"/>
  <c r="D26" i="10"/>
  <c r="CX28" i="2"/>
  <c r="BX14" i="2"/>
  <c r="CY16" i="2"/>
  <c r="CX16" i="2"/>
  <c r="D42" i="6"/>
  <c r="C42" i="6"/>
  <c r="D26" i="1"/>
  <c r="E26" i="1" l="1"/>
  <c r="EU19" i="2"/>
  <c r="ET19" i="2"/>
  <c r="C39" i="6"/>
  <c r="BW16" i="2" s="1"/>
  <c r="D39" i="6"/>
  <c r="D34" i="19" l="1"/>
  <c r="D29" i="17"/>
  <c r="D69" i="3"/>
  <c r="D34" i="17"/>
  <c r="F34" i="17" s="1"/>
  <c r="C31" i="7"/>
  <c r="D31" i="7"/>
  <c r="E32" i="7"/>
  <c r="F32" i="7"/>
  <c r="E33" i="7"/>
  <c r="F33" i="7"/>
  <c r="C34" i="7"/>
  <c r="D34" i="7"/>
  <c r="E35" i="7"/>
  <c r="F35" i="7"/>
  <c r="BU23" i="2"/>
  <c r="C38" i="3"/>
  <c r="D74" i="13"/>
  <c r="D35" i="10"/>
  <c r="D77" i="15"/>
  <c r="C41" i="18"/>
  <c r="G69" i="3" l="1"/>
  <c r="E34" i="7"/>
  <c r="E34" i="17"/>
  <c r="BU27" i="2"/>
  <c r="F31" i="7"/>
  <c r="F34" i="7"/>
  <c r="E31" i="7"/>
  <c r="D73" i="4"/>
  <c r="D53" i="13" l="1"/>
  <c r="C36" i="19"/>
  <c r="BW29" i="2" s="1"/>
  <c r="D36" i="19"/>
  <c r="BX29" i="2" s="1"/>
  <c r="D30" i="6"/>
  <c r="E32" i="6"/>
  <c r="F32" i="6"/>
  <c r="D30" i="5"/>
  <c r="BF15" i="2" s="1"/>
  <c r="C73" i="4"/>
  <c r="E69" i="4"/>
  <c r="F69" i="4"/>
  <c r="CJ19" i="2"/>
  <c r="CI19" i="2"/>
  <c r="DB18" i="2"/>
  <c r="D59" i="3"/>
  <c r="C59" i="3"/>
  <c r="D68" i="5"/>
  <c r="C68" i="5"/>
  <c r="F72" i="5"/>
  <c r="E72" i="5"/>
  <c r="D13" i="3"/>
  <c r="C13" i="3"/>
  <c r="C42" i="5"/>
  <c r="D42" i="5"/>
  <c r="C7" i="4"/>
  <c r="C12" i="4"/>
  <c r="C14" i="4"/>
  <c r="C17" i="4"/>
  <c r="C26" i="4"/>
  <c r="C29" i="4"/>
  <c r="C31" i="4"/>
  <c r="C38" i="4"/>
  <c r="D5" i="4"/>
  <c r="D7" i="4"/>
  <c r="D12" i="4"/>
  <c r="D14" i="4"/>
  <c r="D17" i="4"/>
  <c r="D20" i="4"/>
  <c r="D26" i="4"/>
  <c r="D29" i="4"/>
  <c r="D31" i="4"/>
  <c r="D34" i="4"/>
  <c r="D38" i="4"/>
  <c r="C60" i="4"/>
  <c r="C62" i="4"/>
  <c r="C68" i="4"/>
  <c r="C77" i="4"/>
  <c r="C84" i="4"/>
  <c r="D60" i="4"/>
  <c r="D62" i="4"/>
  <c r="D68" i="4"/>
  <c r="D77" i="4"/>
  <c r="D84" i="4"/>
  <c r="CU19" i="2"/>
  <c r="CV17" i="2"/>
  <c r="CV14" i="2"/>
  <c r="BT20" i="2"/>
  <c r="D66" i="15"/>
  <c r="F71" i="15"/>
  <c r="E71" i="15"/>
  <c r="C34" i="16"/>
  <c r="BT26" i="2" s="1"/>
  <c r="F70" i="7"/>
  <c r="E70" i="7"/>
  <c r="D66" i="11"/>
  <c r="D36" i="6"/>
  <c r="C36" i="6"/>
  <c r="BT16" i="2" s="1"/>
  <c r="F37" i="6"/>
  <c r="E37" i="6"/>
  <c r="D64" i="19"/>
  <c r="D31" i="19"/>
  <c r="C31" i="19"/>
  <c r="BK29" i="2" s="1"/>
  <c r="E46" i="19"/>
  <c r="C82" i="3"/>
  <c r="CM19" i="2"/>
  <c r="CL19" i="2"/>
  <c r="CM17" i="2"/>
  <c r="CL17" i="2"/>
  <c r="CJ17" i="2"/>
  <c r="CI17" i="2"/>
  <c r="D68" i="17"/>
  <c r="D65" i="16"/>
  <c r="D66" i="14"/>
  <c r="D63" i="13"/>
  <c r="D67" i="10"/>
  <c r="D66" i="8"/>
  <c r="D65" i="7"/>
  <c r="C58" i="17"/>
  <c r="D40" i="7"/>
  <c r="E69" i="3"/>
  <c r="D54" i="19"/>
  <c r="CS14" i="2"/>
  <c r="D37" i="13"/>
  <c r="BV23" i="2"/>
  <c r="BV27" i="2"/>
  <c r="BV14" i="2"/>
  <c r="D82" i="18"/>
  <c r="CU17" i="2"/>
  <c r="CU14" i="2"/>
  <c r="C197" i="3"/>
  <c r="D195" i="3"/>
  <c r="C195" i="3"/>
  <c r="D179" i="3"/>
  <c r="G179" i="3" s="1"/>
  <c r="E148" i="3"/>
  <c r="D93" i="3"/>
  <c r="C93" i="3"/>
  <c r="D91" i="3"/>
  <c r="C91" i="3"/>
  <c r="D82" i="3"/>
  <c r="D65" i="3"/>
  <c r="C65" i="3"/>
  <c r="D57" i="3"/>
  <c r="C57" i="3"/>
  <c r="D50" i="3"/>
  <c r="C50" i="3"/>
  <c r="D48" i="3"/>
  <c r="C48" i="3"/>
  <c r="D32" i="3"/>
  <c r="C32" i="3"/>
  <c r="D28" i="3"/>
  <c r="C28" i="3"/>
  <c r="D26" i="3"/>
  <c r="C26" i="3"/>
  <c r="D8" i="3"/>
  <c r="C8" i="3"/>
  <c r="D6" i="3"/>
  <c r="C6" i="3"/>
  <c r="F71" i="12"/>
  <c r="E71" i="12"/>
  <c r="CX19" i="2"/>
  <c r="AH28" i="2"/>
  <c r="BF17" i="2"/>
  <c r="BF19" i="2"/>
  <c r="BF20" i="2"/>
  <c r="BF21" i="2"/>
  <c r="BF24" i="2"/>
  <c r="BF26" i="2"/>
  <c r="BF27" i="2"/>
  <c r="BF28" i="2"/>
  <c r="C66" i="8"/>
  <c r="F71" i="8"/>
  <c r="E71" i="8"/>
  <c r="DL33" i="2"/>
  <c r="C67" i="9"/>
  <c r="C40" i="9"/>
  <c r="C66" i="12"/>
  <c r="E65" i="11"/>
  <c r="C66" i="11"/>
  <c r="C67" i="10"/>
  <c r="C65" i="7"/>
  <c r="C63" i="13"/>
  <c r="C68" i="17"/>
  <c r="C65" i="16"/>
  <c r="C66" i="15"/>
  <c r="C66" i="14"/>
  <c r="F71" i="14"/>
  <c r="E71" i="14"/>
  <c r="C64" i="19"/>
  <c r="D26" i="19"/>
  <c r="D71" i="7"/>
  <c r="D83" i="9"/>
  <c r="D26" i="6"/>
  <c r="E44" i="14"/>
  <c r="D199" i="3" l="1"/>
  <c r="G199" i="3" s="1"/>
  <c r="C199" i="3"/>
  <c r="E8" i="3"/>
  <c r="G8" i="3"/>
  <c r="E50" i="3"/>
  <c r="G50" i="3"/>
  <c r="E6" i="3"/>
  <c r="G6" i="3"/>
  <c r="E18" i="3"/>
  <c r="G18" i="3"/>
  <c r="E28" i="3"/>
  <c r="G28" i="3"/>
  <c r="G48" i="3"/>
  <c r="E48" i="3"/>
  <c r="E53" i="3"/>
  <c r="G53" i="3"/>
  <c r="G19" i="1"/>
  <c r="D19" i="1" s="1"/>
  <c r="E65" i="3"/>
  <c r="E143" i="3"/>
  <c r="E98" i="3"/>
  <c r="G98" i="3"/>
  <c r="E121" i="3"/>
  <c r="G121" i="3"/>
  <c r="E91" i="3"/>
  <c r="G91" i="3"/>
  <c r="E171" i="3"/>
  <c r="G171" i="3"/>
  <c r="E189" i="3"/>
  <c r="G189" i="3"/>
  <c r="E38" i="3"/>
  <c r="G38" i="3"/>
  <c r="E59" i="3"/>
  <c r="G59" i="3"/>
  <c r="E26" i="3"/>
  <c r="G26" i="3"/>
  <c r="E82" i="3"/>
  <c r="G82" i="3"/>
  <c r="G73" i="3" s="1"/>
  <c r="E93" i="3"/>
  <c r="G93" i="3"/>
  <c r="E179" i="3"/>
  <c r="G13" i="3"/>
  <c r="E13" i="3"/>
  <c r="F42" i="5"/>
  <c r="E42" i="5"/>
  <c r="D25" i="4"/>
  <c r="C25" i="4"/>
  <c r="CW17" i="2"/>
  <c r="CW14" i="2"/>
  <c r="C5" i="3"/>
  <c r="D5" i="3"/>
  <c r="C37" i="3"/>
  <c r="D37" i="3"/>
  <c r="D40" i="16"/>
  <c r="E199" i="3" l="1"/>
  <c r="G5" i="3"/>
  <c r="E5" i="3"/>
  <c r="E37" i="3"/>
  <c r="G37" i="3"/>
  <c r="C68" i="3"/>
  <c r="C78" i="3" s="1"/>
  <c r="D68" i="3"/>
  <c r="D34" i="15"/>
  <c r="D36" i="7"/>
  <c r="D34" i="11"/>
  <c r="D26" i="11"/>
  <c r="D14" i="11"/>
  <c r="DB26" i="2"/>
  <c r="AZ18" i="2"/>
  <c r="AW18" i="2"/>
  <c r="D78" i="3" l="1"/>
  <c r="D79" i="3" s="1"/>
  <c r="E68" i="3"/>
  <c r="G68" i="3"/>
  <c r="C79" i="3"/>
  <c r="C34" i="11"/>
  <c r="BT21" i="2" s="1"/>
  <c r="C82" i="12"/>
  <c r="C40" i="17"/>
  <c r="D12" i="19"/>
  <c r="E78" i="3" l="1"/>
  <c r="G78" i="3"/>
  <c r="D67" i="18"/>
  <c r="E41" i="13"/>
  <c r="D82" i="12"/>
  <c r="D64" i="12"/>
  <c r="D66" i="6"/>
  <c r="C66" i="6"/>
  <c r="E71" i="6"/>
  <c r="F71" i="6"/>
  <c r="G34" i="1" l="1"/>
  <c r="E49" i="9"/>
  <c r="D5" i="5"/>
  <c r="C29" i="12"/>
  <c r="M15" i="2"/>
  <c r="D12" i="7"/>
  <c r="CJ14" i="2"/>
  <c r="CY17" i="2"/>
  <c r="AZ28" i="2"/>
  <c r="F28" i="18"/>
  <c r="E28" i="18"/>
  <c r="D26" i="18"/>
  <c r="C67" i="18"/>
  <c r="F72" i="18"/>
  <c r="E72" i="18"/>
  <c r="D73" i="18"/>
  <c r="F29" i="18"/>
  <c r="E29" i="18"/>
  <c r="F87" i="15"/>
  <c r="E87" i="15"/>
  <c r="F86" i="15"/>
  <c r="E86" i="15"/>
  <c r="F85" i="15"/>
  <c r="E85" i="15"/>
  <c r="F84" i="15"/>
  <c r="E84" i="15"/>
  <c r="D81" i="14"/>
  <c r="CX17" i="2"/>
  <c r="C40" i="7"/>
  <c r="BW14" i="2"/>
  <c r="DB22" i="2"/>
  <c r="DB21" i="2"/>
  <c r="D41" i="12"/>
  <c r="E49" i="12"/>
  <c r="F49" i="12"/>
  <c r="D40" i="11"/>
  <c r="CY23" i="2" l="1"/>
  <c r="CY19" i="2"/>
  <c r="CY18" i="2"/>
  <c r="CY14" i="2" l="1"/>
  <c r="D41" i="10"/>
  <c r="D40" i="9"/>
  <c r="D40" i="8"/>
  <c r="D17" i="15"/>
  <c r="CY29" i="2"/>
  <c r="CX29" i="2"/>
  <c r="CY27" i="2"/>
  <c r="CY25" i="2"/>
  <c r="CY24" i="2"/>
  <c r="CY22" i="2"/>
  <c r="CY21" i="2"/>
  <c r="D41" i="15"/>
  <c r="D37" i="14"/>
  <c r="BX24" i="2" s="1"/>
  <c r="D41" i="14"/>
  <c r="D40" i="17"/>
  <c r="CX23" i="2"/>
  <c r="E9" i="12"/>
  <c r="F34" i="5" l="1"/>
  <c r="AK14" i="2"/>
  <c r="CX14" i="2"/>
  <c r="CZ14" i="2" s="1"/>
  <c r="CX27" i="2"/>
  <c r="CZ27" i="2" s="1"/>
  <c r="CX25" i="2"/>
  <c r="CZ25" i="2" s="1"/>
  <c r="CX24" i="2"/>
  <c r="CZ24" i="2" s="1"/>
  <c r="CX21" i="2"/>
  <c r="CZ21" i="2" s="1"/>
  <c r="CX18" i="2"/>
  <c r="CZ18" i="2" s="1"/>
  <c r="CY15" i="2"/>
  <c r="CX15" i="2"/>
  <c r="F79" i="13"/>
  <c r="F90" i="18"/>
  <c r="F52" i="17"/>
  <c r="C40" i="16"/>
  <c r="E40" i="16" s="1"/>
  <c r="E50" i="15"/>
  <c r="F50" i="15"/>
  <c r="C41" i="14"/>
  <c r="F41" i="14" s="1"/>
  <c r="E50" i="14"/>
  <c r="F50" i="14"/>
  <c r="E76" i="12"/>
  <c r="E73" i="12"/>
  <c r="E31" i="12"/>
  <c r="F31" i="12"/>
  <c r="D29" i="12"/>
  <c r="BF22" i="2" s="1"/>
  <c r="C40" i="11"/>
  <c r="E40" i="11" s="1"/>
  <c r="E49" i="11"/>
  <c r="F49" i="11"/>
  <c r="C41" i="10"/>
  <c r="F41" i="10" s="1"/>
  <c r="E81" i="9"/>
  <c r="E51" i="9"/>
  <c r="F51" i="9"/>
  <c r="E47" i="8"/>
  <c r="F47" i="8"/>
  <c r="E48" i="8"/>
  <c r="F48" i="8"/>
  <c r="E50" i="8"/>
  <c r="F50" i="8"/>
  <c r="C40" i="8"/>
  <c r="F40" i="8" s="1"/>
  <c r="F82" i="5"/>
  <c r="F77" i="5"/>
  <c r="C26" i="5"/>
  <c r="E49" i="5"/>
  <c r="F49" i="5"/>
  <c r="E48" i="12"/>
  <c r="F48" i="12"/>
  <c r="G24" i="1"/>
  <c r="C41" i="15"/>
  <c r="F41" i="15" s="1"/>
  <c r="E42" i="15"/>
  <c r="C37" i="13"/>
  <c r="C41" i="12"/>
  <c r="F42" i="10"/>
  <c r="E45" i="10"/>
  <c r="F45" i="10"/>
  <c r="E44" i="9"/>
  <c r="F44" i="9"/>
  <c r="E44" i="8"/>
  <c r="F44" i="8"/>
  <c r="E44" i="7"/>
  <c r="F44" i="7"/>
  <c r="E46" i="6"/>
  <c r="F46" i="6"/>
  <c r="E47" i="6"/>
  <c r="F47" i="6"/>
  <c r="E46" i="5"/>
  <c r="F46" i="5"/>
  <c r="CX22" i="2"/>
  <c r="CZ22" i="2" s="1"/>
  <c r="DB14" i="2"/>
  <c r="C55" i="7"/>
  <c r="G35" i="1"/>
  <c r="F35" i="1"/>
  <c r="G20" i="1"/>
  <c r="D20" i="1" s="1"/>
  <c r="D20" i="14"/>
  <c r="E75" i="11"/>
  <c r="E35" i="10"/>
  <c r="F35" i="10"/>
  <c r="E36" i="10"/>
  <c r="F36" i="10"/>
  <c r="D81" i="8"/>
  <c r="ER18" i="2" s="1"/>
  <c r="C77" i="8"/>
  <c r="EN18" i="2" s="1"/>
  <c r="C72" i="8"/>
  <c r="EK18" i="2" s="1"/>
  <c r="E35" i="11"/>
  <c r="F35" i="11"/>
  <c r="E34" i="11"/>
  <c r="F34" i="11"/>
  <c r="E33" i="11"/>
  <c r="C7" i="8"/>
  <c r="D7" i="5"/>
  <c r="C52" i="4"/>
  <c r="BU21" i="2"/>
  <c r="BV21" i="2" s="1"/>
  <c r="D96" i="12"/>
  <c r="EX22" i="2" s="1"/>
  <c r="F35" i="16"/>
  <c r="E35" i="16"/>
  <c r="E34" i="16"/>
  <c r="D12" i="13"/>
  <c r="D5" i="13"/>
  <c r="D78" i="13"/>
  <c r="ER23" i="2" s="1"/>
  <c r="EO23" i="2"/>
  <c r="D61" i="13"/>
  <c r="D69" i="13"/>
  <c r="EL23" i="2" s="1"/>
  <c r="D24" i="13"/>
  <c r="AW27" i="2"/>
  <c r="AW25" i="2"/>
  <c r="AW19" i="2"/>
  <c r="AX19" i="2" s="1"/>
  <c r="AW17" i="2"/>
  <c r="AZ29" i="2"/>
  <c r="BA29" i="2" s="1"/>
  <c r="CA32" i="2"/>
  <c r="CA33" i="2" s="1"/>
  <c r="E88" i="16"/>
  <c r="C81" i="14"/>
  <c r="EQ24" i="2" s="1"/>
  <c r="E15" i="14"/>
  <c r="C74" i="13"/>
  <c r="EN23" i="2" s="1"/>
  <c r="E43" i="10"/>
  <c r="F43" i="10"/>
  <c r="BU19" i="2"/>
  <c r="F76" i="9"/>
  <c r="F35" i="9"/>
  <c r="E35" i="9"/>
  <c r="D34" i="9"/>
  <c r="C34" i="9"/>
  <c r="BT19" i="2" s="1"/>
  <c r="E36" i="18"/>
  <c r="F36" i="18"/>
  <c r="E48" i="16"/>
  <c r="F48" i="16"/>
  <c r="E46" i="16"/>
  <c r="E47" i="16"/>
  <c r="E42" i="16"/>
  <c r="F42" i="16"/>
  <c r="C34" i="15"/>
  <c r="BT25" i="2" s="1"/>
  <c r="E36" i="15"/>
  <c r="F36" i="15"/>
  <c r="BU25" i="2"/>
  <c r="E70" i="14"/>
  <c r="D34" i="14"/>
  <c r="BU24" i="2" s="1"/>
  <c r="BV24" i="2" s="1"/>
  <c r="C34" i="14"/>
  <c r="E36" i="12"/>
  <c r="F36" i="12"/>
  <c r="C35" i="12"/>
  <c r="BT22" i="2" s="1"/>
  <c r="E42" i="11"/>
  <c r="F42" i="11"/>
  <c r="E42" i="8"/>
  <c r="F42" i="8"/>
  <c r="E86" i="7"/>
  <c r="BX17" i="2"/>
  <c r="E42" i="7"/>
  <c r="F42" i="7"/>
  <c r="E57" i="6"/>
  <c r="F57" i="6"/>
  <c r="E50" i="6"/>
  <c r="E61" i="5"/>
  <c r="E62" i="5"/>
  <c r="E63" i="5"/>
  <c r="C5" i="5"/>
  <c r="C7" i="5"/>
  <c r="E29" i="5"/>
  <c r="E31" i="5"/>
  <c r="F28" i="5"/>
  <c r="E28" i="5"/>
  <c r="E45" i="4"/>
  <c r="DT14" i="2"/>
  <c r="DW29" i="2"/>
  <c r="DW24" i="2"/>
  <c r="DW22" i="2"/>
  <c r="DW21" i="2"/>
  <c r="DW18" i="2"/>
  <c r="DW16" i="2"/>
  <c r="DW14" i="2"/>
  <c r="D17" i="12"/>
  <c r="D5" i="8"/>
  <c r="D5" i="6"/>
  <c r="D56" i="12"/>
  <c r="D35" i="12"/>
  <c r="BU22" i="2" s="1"/>
  <c r="CY26" i="2"/>
  <c r="CX26" i="2"/>
  <c r="CY28" i="2"/>
  <c r="D78" i="18"/>
  <c r="EO28" i="2" s="1"/>
  <c r="D41" i="18"/>
  <c r="E51" i="18"/>
  <c r="F51" i="18"/>
  <c r="BU17" i="2"/>
  <c r="BT17" i="2"/>
  <c r="G15" i="1"/>
  <c r="D15" i="1" s="1"/>
  <c r="D62" i="19"/>
  <c r="EF29" i="2" s="1"/>
  <c r="D39" i="19"/>
  <c r="D35" i="18"/>
  <c r="BU28" i="2" s="1"/>
  <c r="BU20" i="2"/>
  <c r="BV20" i="2" s="1"/>
  <c r="D88" i="14"/>
  <c r="EX24" i="2" s="1"/>
  <c r="D36" i="8"/>
  <c r="BX18" i="2" s="1"/>
  <c r="E27" i="19"/>
  <c r="E56" i="16"/>
  <c r="E57" i="16"/>
  <c r="E58" i="16"/>
  <c r="E59" i="16"/>
  <c r="AW29" i="2"/>
  <c r="AW14" i="2"/>
  <c r="CR18" i="2"/>
  <c r="AY17" i="2"/>
  <c r="AG24" i="2"/>
  <c r="G37" i="1"/>
  <c r="D37" i="1" s="1"/>
  <c r="EI18" i="2"/>
  <c r="EH18" i="2"/>
  <c r="C14" i="14"/>
  <c r="F15" i="14" s="1"/>
  <c r="F35" i="15"/>
  <c r="E35" i="15"/>
  <c r="CO16" i="2"/>
  <c r="CO29" i="2"/>
  <c r="CO28" i="2"/>
  <c r="CO27" i="2"/>
  <c r="CO26" i="2"/>
  <c r="CO25" i="2"/>
  <c r="CO24" i="2"/>
  <c r="CO23" i="2"/>
  <c r="CO22" i="2"/>
  <c r="CO21" i="2"/>
  <c r="CO20" i="2"/>
  <c r="CO19" i="2"/>
  <c r="CO18" i="2"/>
  <c r="CO17" i="2"/>
  <c r="CO15" i="2"/>
  <c r="CO14" i="2"/>
  <c r="L29" i="2"/>
  <c r="V25" i="2"/>
  <c r="AT25" i="2"/>
  <c r="AU25" i="2" s="1"/>
  <c r="CV28" i="2"/>
  <c r="CV26" i="2"/>
  <c r="CV25" i="2"/>
  <c r="CV24" i="2"/>
  <c r="CV23" i="2"/>
  <c r="CV22" i="2"/>
  <c r="CV16" i="2"/>
  <c r="BK14" i="2"/>
  <c r="BE28" i="2"/>
  <c r="BE27" i="2"/>
  <c r="BE24" i="2"/>
  <c r="BG24" i="2" s="1"/>
  <c r="BE21" i="2"/>
  <c r="BE20" i="2"/>
  <c r="BE19" i="2"/>
  <c r="BE17" i="2"/>
  <c r="BG17" i="2" s="1"/>
  <c r="BE15" i="2"/>
  <c r="BE26" i="2"/>
  <c r="AY24" i="2"/>
  <c r="AW26" i="2"/>
  <c r="AW24" i="2"/>
  <c r="AW22" i="2"/>
  <c r="AW16" i="2"/>
  <c r="AW15" i="2"/>
  <c r="D88" i="15"/>
  <c r="EX25" i="2" s="1"/>
  <c r="D20" i="12"/>
  <c r="AQ22" i="2" s="1"/>
  <c r="AR22" i="2" s="1"/>
  <c r="C20" i="12"/>
  <c r="D26" i="5"/>
  <c r="AV27" i="2"/>
  <c r="CU28" i="2"/>
  <c r="CU26" i="2"/>
  <c r="CI26" i="2"/>
  <c r="CU24" i="2"/>
  <c r="CU23" i="2"/>
  <c r="CU22" i="2"/>
  <c r="CU16" i="2"/>
  <c r="D70" i="19"/>
  <c r="EL29" i="2" s="1"/>
  <c r="D63" i="16"/>
  <c r="D55" i="16"/>
  <c r="D76" i="16"/>
  <c r="D71" i="16"/>
  <c r="EL26" i="2" s="1"/>
  <c r="EI25" i="2"/>
  <c r="D7" i="7"/>
  <c r="F40" i="7"/>
  <c r="D26" i="7"/>
  <c r="D17" i="5"/>
  <c r="EL14" i="2"/>
  <c r="DW20" i="2"/>
  <c r="DW17" i="2"/>
  <c r="D5" i="15"/>
  <c r="D5" i="9"/>
  <c r="C35" i="18"/>
  <c r="BT28" i="2" s="1"/>
  <c r="C34" i="8"/>
  <c r="BT18" i="2" s="1"/>
  <c r="AV18" i="2"/>
  <c r="AZ19" i="2"/>
  <c r="AY18" i="2"/>
  <c r="F20" i="1"/>
  <c r="C20" i="1" s="1"/>
  <c r="EF22" i="2"/>
  <c r="AW21" i="2"/>
  <c r="D66" i="17"/>
  <c r="D56" i="15"/>
  <c r="D37" i="12"/>
  <c r="BX22" i="2" s="1"/>
  <c r="E15" i="5"/>
  <c r="E16" i="5"/>
  <c r="G9" i="1"/>
  <c r="D9" i="1" s="1"/>
  <c r="BK22" i="2"/>
  <c r="M14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BO18" i="2"/>
  <c r="BO31" i="2" s="1"/>
  <c r="BO32" i="2" s="1"/>
  <c r="BO33" i="2" s="1"/>
  <c r="BP18" i="2"/>
  <c r="BQ18" i="2"/>
  <c r="BR18" i="2"/>
  <c r="BS18" i="2"/>
  <c r="EI24" i="2"/>
  <c r="D5" i="14"/>
  <c r="D65" i="18"/>
  <c r="EF28" i="2" s="1"/>
  <c r="D12" i="5"/>
  <c r="E48" i="5"/>
  <c r="F48" i="5"/>
  <c r="C74" i="5"/>
  <c r="L14" i="2"/>
  <c r="AV26" i="2"/>
  <c r="AV25" i="2"/>
  <c r="AV24" i="2"/>
  <c r="AV22" i="2"/>
  <c r="AV17" i="2"/>
  <c r="AV14" i="2"/>
  <c r="AY26" i="2"/>
  <c r="AY22" i="2"/>
  <c r="AY21" i="2"/>
  <c r="G11" i="1"/>
  <c r="D11" i="1" s="1"/>
  <c r="G5" i="1"/>
  <c r="D5" i="1" s="1"/>
  <c r="G40" i="1"/>
  <c r="C96" i="12"/>
  <c r="EW22" i="2" s="1"/>
  <c r="D7" i="16"/>
  <c r="E42" i="9"/>
  <c r="F42" i="9"/>
  <c r="EX14" i="2"/>
  <c r="ER14" i="2"/>
  <c r="EN14" i="2"/>
  <c r="EH14" i="2"/>
  <c r="D52" i="4"/>
  <c r="D36" i="16"/>
  <c r="G43" i="1"/>
  <c r="D17" i="19"/>
  <c r="D33" i="5"/>
  <c r="BL15" i="2" s="1"/>
  <c r="D64" i="11"/>
  <c r="D56" i="11"/>
  <c r="DQ21" i="2" s="1"/>
  <c r="D87" i="7"/>
  <c r="EX17" i="2" s="1"/>
  <c r="D82" i="7"/>
  <c r="EU17" i="2" s="1"/>
  <c r="D80" i="7"/>
  <c r="ER17" i="2" s="1"/>
  <c r="D76" i="7"/>
  <c r="EO17" i="2" s="1"/>
  <c r="EI17" i="2"/>
  <c r="D63" i="7"/>
  <c r="D55" i="7"/>
  <c r="D65" i="10"/>
  <c r="AY28" i="2"/>
  <c r="AY27" i="2"/>
  <c r="AY25" i="2"/>
  <c r="AY23" i="2"/>
  <c r="AY20" i="2"/>
  <c r="AY16" i="2"/>
  <c r="AY15" i="2"/>
  <c r="AY14" i="2"/>
  <c r="AV28" i="2"/>
  <c r="AV23" i="2"/>
  <c r="AV20" i="2"/>
  <c r="D7" i="13"/>
  <c r="D14" i="13"/>
  <c r="C14" i="12"/>
  <c r="AE14" i="2"/>
  <c r="AE15" i="2"/>
  <c r="AE16" i="2"/>
  <c r="AE18" i="2"/>
  <c r="AE20" i="2"/>
  <c r="AE21" i="2"/>
  <c r="AE22" i="2"/>
  <c r="AE23" i="2"/>
  <c r="AE24" i="2"/>
  <c r="AE25" i="2"/>
  <c r="AE26" i="2"/>
  <c r="AE27" i="2"/>
  <c r="AE28" i="2"/>
  <c r="AE29" i="2"/>
  <c r="EB16" i="2"/>
  <c r="CV29" i="2"/>
  <c r="CU29" i="2"/>
  <c r="DT24" i="2"/>
  <c r="DT25" i="2"/>
  <c r="DT23" i="2"/>
  <c r="DT22" i="2"/>
  <c r="DT26" i="2"/>
  <c r="DT21" i="2"/>
  <c r="DT20" i="2"/>
  <c r="DT29" i="2"/>
  <c r="DT28" i="2"/>
  <c r="DT27" i="2"/>
  <c r="DT19" i="2"/>
  <c r="DT18" i="2"/>
  <c r="DT17" i="2"/>
  <c r="DT16" i="2"/>
  <c r="DT15" i="2"/>
  <c r="DV17" i="2"/>
  <c r="G31" i="1"/>
  <c r="D31" i="1" s="1"/>
  <c r="D26" i="16"/>
  <c r="D57" i="9"/>
  <c r="AJ23" i="2"/>
  <c r="L23" i="2"/>
  <c r="R23" i="2"/>
  <c r="L24" i="2"/>
  <c r="AJ24" i="2"/>
  <c r="AW28" i="2"/>
  <c r="AW23" i="2"/>
  <c r="AW20" i="2"/>
  <c r="AV21" i="2"/>
  <c r="AV15" i="2"/>
  <c r="E43" i="14"/>
  <c r="F43" i="14"/>
  <c r="C26" i="6"/>
  <c r="C66" i="5"/>
  <c r="DK23" i="2"/>
  <c r="DK31" i="2" s="1"/>
  <c r="D79" i="17"/>
  <c r="EO27" i="2" s="1"/>
  <c r="D78" i="12"/>
  <c r="D73" i="9"/>
  <c r="G12" i="1"/>
  <c r="D12" i="1" s="1"/>
  <c r="C90" i="17"/>
  <c r="EW27" i="2" s="1"/>
  <c r="DV14" i="2"/>
  <c r="D26" i="17"/>
  <c r="D32" i="18"/>
  <c r="BL28" i="2" s="1"/>
  <c r="C78" i="13"/>
  <c r="EQ23" i="2" s="1"/>
  <c r="C26" i="11"/>
  <c r="C26" i="8"/>
  <c r="C33" i="6"/>
  <c r="E67" i="18"/>
  <c r="C64" i="15"/>
  <c r="C81" i="8"/>
  <c r="E83" i="8"/>
  <c r="F83" i="8"/>
  <c r="CM23" i="2"/>
  <c r="CL23" i="2"/>
  <c r="F39" i="13"/>
  <c r="F40" i="13"/>
  <c r="E39" i="13"/>
  <c r="E40" i="13"/>
  <c r="CM27" i="2"/>
  <c r="CL27" i="2"/>
  <c r="F42" i="17"/>
  <c r="E42" i="17"/>
  <c r="CV27" i="2"/>
  <c r="D7" i="10"/>
  <c r="D7" i="8"/>
  <c r="C29" i="13"/>
  <c r="ER22" i="2"/>
  <c r="EQ22" i="2"/>
  <c r="D95" i="8"/>
  <c r="FA18" i="2" s="1"/>
  <c r="D64" i="6"/>
  <c r="D66" i="5"/>
  <c r="CU27" i="2"/>
  <c r="D81" i="11"/>
  <c r="ER21" i="2" s="1"/>
  <c r="D65" i="9"/>
  <c r="F45" i="17"/>
  <c r="F46" i="17"/>
  <c r="F48" i="17"/>
  <c r="F49" i="17"/>
  <c r="F50" i="17"/>
  <c r="F51" i="17"/>
  <c r="E45" i="17"/>
  <c r="E46" i="17"/>
  <c r="E48" i="17"/>
  <c r="E49" i="17"/>
  <c r="E50" i="17"/>
  <c r="E51" i="17"/>
  <c r="D17" i="18"/>
  <c r="CV21" i="2"/>
  <c r="E75" i="12"/>
  <c r="F75" i="12"/>
  <c r="CU21" i="2"/>
  <c r="CU20" i="2"/>
  <c r="C7" i="19"/>
  <c r="C7" i="18"/>
  <c r="C7" i="17"/>
  <c r="C7" i="16"/>
  <c r="C7" i="15"/>
  <c r="C17" i="14"/>
  <c r="C7" i="14"/>
  <c r="C7" i="13"/>
  <c r="C7" i="12"/>
  <c r="C7" i="11"/>
  <c r="C7" i="10"/>
  <c r="C7" i="9"/>
  <c r="C7" i="7"/>
  <c r="C7" i="6"/>
  <c r="D12" i="11"/>
  <c r="F40" i="1"/>
  <c r="F39" i="1"/>
  <c r="G38" i="1"/>
  <c r="F38" i="1"/>
  <c r="F34" i="1"/>
  <c r="G32" i="1"/>
  <c r="D32" i="1" s="1"/>
  <c r="F31" i="1"/>
  <c r="F6" i="1"/>
  <c r="C6" i="1" s="1"/>
  <c r="D12" i="6"/>
  <c r="C91" i="9"/>
  <c r="EI27" i="2"/>
  <c r="F78" i="11"/>
  <c r="F79" i="11"/>
  <c r="E78" i="11"/>
  <c r="E79" i="11"/>
  <c r="D91" i="9"/>
  <c r="F87" i="9"/>
  <c r="F88" i="9"/>
  <c r="F89" i="9"/>
  <c r="F90" i="9"/>
  <c r="F92" i="9"/>
  <c r="E87" i="9"/>
  <c r="E88" i="9"/>
  <c r="E89" i="9"/>
  <c r="E90" i="9"/>
  <c r="E92" i="9"/>
  <c r="G6" i="1"/>
  <c r="D6" i="1" s="1"/>
  <c r="D5" i="19"/>
  <c r="D7" i="19"/>
  <c r="D14" i="19"/>
  <c r="C5" i="19"/>
  <c r="E6" i="19"/>
  <c r="F6" i="19"/>
  <c r="E8" i="19"/>
  <c r="F8" i="19"/>
  <c r="E9" i="19"/>
  <c r="F9" i="19"/>
  <c r="E10" i="19"/>
  <c r="F10" i="19"/>
  <c r="E11" i="19"/>
  <c r="F11" i="19"/>
  <c r="C12" i="19"/>
  <c r="E13" i="19"/>
  <c r="F13" i="19"/>
  <c r="C14" i="19"/>
  <c r="E15" i="19"/>
  <c r="F15" i="19"/>
  <c r="E16" i="19"/>
  <c r="F16" i="19"/>
  <c r="C17" i="19"/>
  <c r="E18" i="19"/>
  <c r="F18" i="19"/>
  <c r="E19" i="19"/>
  <c r="F19" i="19"/>
  <c r="C20" i="19"/>
  <c r="D20" i="19"/>
  <c r="E21" i="19"/>
  <c r="F21" i="19"/>
  <c r="E22" i="19"/>
  <c r="F22" i="19"/>
  <c r="E23" i="19"/>
  <c r="F23" i="19"/>
  <c r="E24" i="19"/>
  <c r="F24" i="19"/>
  <c r="F27" i="19"/>
  <c r="E28" i="19"/>
  <c r="F28" i="19"/>
  <c r="C29" i="19"/>
  <c r="D29" i="19"/>
  <c r="E30" i="19"/>
  <c r="F30" i="19"/>
  <c r="E32" i="19"/>
  <c r="F32" i="19"/>
  <c r="E33" i="19"/>
  <c r="F33" i="19"/>
  <c r="BT29" i="2"/>
  <c r="BU29" i="2"/>
  <c r="E35" i="19"/>
  <c r="F35" i="19"/>
  <c r="E37" i="19"/>
  <c r="F37" i="19"/>
  <c r="E40" i="19"/>
  <c r="E41" i="19"/>
  <c r="F41" i="19"/>
  <c r="E42" i="19"/>
  <c r="F42" i="19"/>
  <c r="E43" i="19"/>
  <c r="F43" i="19"/>
  <c r="E44" i="19"/>
  <c r="F44" i="19"/>
  <c r="E45" i="19"/>
  <c r="F45" i="19"/>
  <c r="F46" i="19"/>
  <c r="F47" i="19"/>
  <c r="E48" i="19"/>
  <c r="F48" i="19"/>
  <c r="C54" i="19"/>
  <c r="E56" i="19"/>
  <c r="F56" i="19"/>
  <c r="F57" i="19"/>
  <c r="E58" i="19"/>
  <c r="F58" i="19"/>
  <c r="E59" i="19"/>
  <c r="F59" i="19"/>
  <c r="E60" i="19"/>
  <c r="F60" i="19"/>
  <c r="E61" i="19"/>
  <c r="F61" i="19"/>
  <c r="C62" i="19"/>
  <c r="E63" i="19"/>
  <c r="F63" i="19"/>
  <c r="EI29" i="2"/>
  <c r="E65" i="19"/>
  <c r="F65" i="19"/>
  <c r="E66" i="19"/>
  <c r="F66" i="19"/>
  <c r="E67" i="19"/>
  <c r="F67" i="19"/>
  <c r="E68" i="19"/>
  <c r="F68" i="19"/>
  <c r="E71" i="19"/>
  <c r="F71" i="19"/>
  <c r="E72" i="19"/>
  <c r="F72" i="19"/>
  <c r="E74" i="19"/>
  <c r="F74" i="19"/>
  <c r="D75" i="19"/>
  <c r="EO29" i="2" s="1"/>
  <c r="E76" i="19"/>
  <c r="F76" i="19"/>
  <c r="E77" i="19"/>
  <c r="F77" i="19"/>
  <c r="E78" i="19"/>
  <c r="C79" i="19"/>
  <c r="D79" i="19"/>
  <c r="ER29" i="2" s="1"/>
  <c r="E80" i="19"/>
  <c r="F80" i="19"/>
  <c r="C81" i="19"/>
  <c r="ET29" i="2" s="1"/>
  <c r="D81" i="19"/>
  <c r="EU29" i="2" s="1"/>
  <c r="E82" i="19"/>
  <c r="F82" i="19"/>
  <c r="E83" i="19"/>
  <c r="F83" i="19"/>
  <c r="E84" i="19"/>
  <c r="F84" i="19"/>
  <c r="F85" i="19"/>
  <c r="C86" i="19"/>
  <c r="D86" i="19"/>
  <c r="EX29" i="2" s="1"/>
  <c r="E87" i="19"/>
  <c r="F87" i="19"/>
  <c r="E88" i="19"/>
  <c r="F88" i="19"/>
  <c r="E89" i="19"/>
  <c r="E90" i="19"/>
  <c r="E91" i="19"/>
  <c r="C92" i="19"/>
  <c r="D92" i="19"/>
  <c r="FA29" i="2" s="1"/>
  <c r="E93" i="19"/>
  <c r="F93" i="19"/>
  <c r="E94" i="19"/>
  <c r="F94" i="19"/>
  <c r="E95" i="19"/>
  <c r="F95" i="19"/>
  <c r="D5" i="18"/>
  <c r="D7" i="18"/>
  <c r="D14" i="18"/>
  <c r="C5" i="18"/>
  <c r="E6" i="18"/>
  <c r="F6" i="18"/>
  <c r="E8" i="18"/>
  <c r="F8" i="18"/>
  <c r="E9" i="18"/>
  <c r="F9" i="18"/>
  <c r="E10" i="18"/>
  <c r="F10" i="18"/>
  <c r="E11" i="18"/>
  <c r="F11" i="18"/>
  <c r="C12" i="18"/>
  <c r="D12" i="18"/>
  <c r="E13" i="18"/>
  <c r="F13" i="18"/>
  <c r="C14" i="18"/>
  <c r="E15" i="18"/>
  <c r="F15" i="18"/>
  <c r="E16" i="18"/>
  <c r="F16" i="18"/>
  <c r="C17" i="18"/>
  <c r="E18" i="18"/>
  <c r="F18" i="18"/>
  <c r="E19" i="18"/>
  <c r="F19" i="18"/>
  <c r="C20" i="18"/>
  <c r="D20" i="18"/>
  <c r="E21" i="18"/>
  <c r="F21" i="18"/>
  <c r="E22" i="18"/>
  <c r="F22" i="18"/>
  <c r="E23" i="18"/>
  <c r="F23" i="18"/>
  <c r="E24" i="18"/>
  <c r="F24" i="18"/>
  <c r="C26" i="18"/>
  <c r="E26" i="18" s="1"/>
  <c r="E27" i="18"/>
  <c r="F27" i="18"/>
  <c r="C30" i="18"/>
  <c r="D30" i="18"/>
  <c r="E31" i="18"/>
  <c r="F31" i="18"/>
  <c r="C32" i="18"/>
  <c r="BK28" i="2" s="1"/>
  <c r="E33" i="18"/>
  <c r="F33" i="18"/>
  <c r="E34" i="18"/>
  <c r="F34" i="18"/>
  <c r="C37" i="18"/>
  <c r="BW28" i="2" s="1"/>
  <c r="D37" i="18"/>
  <c r="E38" i="18"/>
  <c r="F38" i="18"/>
  <c r="E39" i="18"/>
  <c r="F39" i="18"/>
  <c r="E42" i="18"/>
  <c r="F42" i="18"/>
  <c r="E43" i="18"/>
  <c r="F43" i="18"/>
  <c r="E44" i="18"/>
  <c r="F44" i="18"/>
  <c r="E45" i="18"/>
  <c r="F45" i="18"/>
  <c r="E46" i="18"/>
  <c r="F46" i="18"/>
  <c r="E47" i="18"/>
  <c r="F47" i="18"/>
  <c r="E48" i="18"/>
  <c r="F48" i="18"/>
  <c r="F49" i="18"/>
  <c r="E50" i="18"/>
  <c r="F50" i="18"/>
  <c r="D57" i="18"/>
  <c r="E59" i="18"/>
  <c r="F59" i="18"/>
  <c r="F60" i="18"/>
  <c r="E61" i="18"/>
  <c r="F61" i="18"/>
  <c r="E62" i="18"/>
  <c r="F62" i="18"/>
  <c r="E63" i="18"/>
  <c r="F63" i="18"/>
  <c r="C65" i="18"/>
  <c r="E66" i="18"/>
  <c r="F66" i="18"/>
  <c r="E68" i="18"/>
  <c r="F68" i="18"/>
  <c r="E69" i="18"/>
  <c r="F69" i="18"/>
  <c r="E70" i="18"/>
  <c r="F70" i="18"/>
  <c r="E71" i="18"/>
  <c r="F71" i="18"/>
  <c r="EL28" i="2"/>
  <c r="E75" i="18"/>
  <c r="F75" i="18"/>
  <c r="E76" i="18"/>
  <c r="F76" i="18"/>
  <c r="C78" i="18"/>
  <c r="E79" i="18"/>
  <c r="F79" i="18"/>
  <c r="E80" i="18"/>
  <c r="F80" i="18"/>
  <c r="E81" i="18"/>
  <c r="F81" i="18"/>
  <c r="C82" i="18"/>
  <c r="EQ28" i="2" s="1"/>
  <c r="E83" i="18"/>
  <c r="F83" i="18"/>
  <c r="C84" i="18"/>
  <c r="ET28" i="2" s="1"/>
  <c r="D84" i="18"/>
  <c r="EU28" i="2" s="1"/>
  <c r="E85" i="18"/>
  <c r="F85" i="18"/>
  <c r="E86" i="18"/>
  <c r="F86" i="18"/>
  <c r="E87" i="18"/>
  <c r="F87" i="18"/>
  <c r="F88" i="18"/>
  <c r="D89" i="18"/>
  <c r="EX28" i="2" s="1"/>
  <c r="E90" i="18"/>
  <c r="E91" i="18"/>
  <c r="F91" i="18"/>
  <c r="E92" i="18"/>
  <c r="E93" i="18"/>
  <c r="E94" i="18"/>
  <c r="C95" i="18"/>
  <c r="EZ28" i="2" s="1"/>
  <c r="D95" i="18"/>
  <c r="FA28" i="2" s="1"/>
  <c r="E96" i="18"/>
  <c r="F96" i="18"/>
  <c r="E97" i="18"/>
  <c r="F97" i="18"/>
  <c r="E98" i="18"/>
  <c r="F98" i="18"/>
  <c r="D5" i="17"/>
  <c r="D7" i="17"/>
  <c r="D14" i="17"/>
  <c r="D17" i="17"/>
  <c r="C5" i="17"/>
  <c r="E6" i="17"/>
  <c r="F6" i="17"/>
  <c r="E8" i="17"/>
  <c r="F8" i="17"/>
  <c r="E9" i="17"/>
  <c r="F9" i="17"/>
  <c r="E10" i="17"/>
  <c r="F10" i="17"/>
  <c r="E11" i="17"/>
  <c r="F11" i="17"/>
  <c r="C12" i="17"/>
  <c r="D12" i="17"/>
  <c r="E13" i="17"/>
  <c r="F13" i="17"/>
  <c r="C14" i="17"/>
  <c r="E15" i="17"/>
  <c r="F15" i="17"/>
  <c r="E16" i="17"/>
  <c r="F16" i="17"/>
  <c r="C17" i="17"/>
  <c r="E18" i="17"/>
  <c r="F18" i="17"/>
  <c r="E19" i="17"/>
  <c r="F19" i="17"/>
  <c r="C20" i="17"/>
  <c r="D20" i="17"/>
  <c r="E21" i="17"/>
  <c r="F21" i="17"/>
  <c r="E22" i="17"/>
  <c r="F22" i="17"/>
  <c r="E23" i="17"/>
  <c r="F23" i="17"/>
  <c r="E24" i="17"/>
  <c r="F24" i="17"/>
  <c r="D31" i="17"/>
  <c r="BL27" i="2" s="1"/>
  <c r="C26" i="17"/>
  <c r="E27" i="17"/>
  <c r="F27" i="17"/>
  <c r="E28" i="17"/>
  <c r="F28" i="17"/>
  <c r="C29" i="17"/>
  <c r="E30" i="17"/>
  <c r="F30" i="17"/>
  <c r="C31" i="17"/>
  <c r="BK27" i="2" s="1"/>
  <c r="E32" i="17"/>
  <c r="F32" i="17"/>
  <c r="E33" i="17"/>
  <c r="F33" i="17"/>
  <c r="C36" i="17"/>
  <c r="BW27" i="2" s="1"/>
  <c r="D36" i="17"/>
  <c r="BX27" i="2" s="1"/>
  <c r="E37" i="17"/>
  <c r="F37" i="17"/>
  <c r="E38" i="17"/>
  <c r="F38" i="17"/>
  <c r="F41" i="17"/>
  <c r="E43" i="17"/>
  <c r="F43" i="17"/>
  <c r="E44" i="17"/>
  <c r="F44" i="17"/>
  <c r="C47" i="17"/>
  <c r="D47" i="17"/>
  <c r="D58" i="17"/>
  <c r="E60" i="17"/>
  <c r="F60" i="17"/>
  <c r="F61" i="17"/>
  <c r="E62" i="17"/>
  <c r="F62" i="17"/>
  <c r="E63" i="17"/>
  <c r="F63" i="17"/>
  <c r="E64" i="17"/>
  <c r="F64" i="17"/>
  <c r="E65" i="17"/>
  <c r="F65" i="17"/>
  <c r="C66" i="17"/>
  <c r="E67" i="17"/>
  <c r="F67" i="17"/>
  <c r="E69" i="17"/>
  <c r="F69" i="17"/>
  <c r="E70" i="17"/>
  <c r="F70" i="17"/>
  <c r="E71" i="17"/>
  <c r="F71" i="17"/>
  <c r="E72" i="17"/>
  <c r="F72" i="17"/>
  <c r="D74" i="17"/>
  <c r="EL27" i="2" s="1"/>
  <c r="E76" i="17"/>
  <c r="F76" i="17"/>
  <c r="E77" i="17"/>
  <c r="F77" i="17"/>
  <c r="E78" i="17"/>
  <c r="F78" i="17"/>
  <c r="C79" i="17"/>
  <c r="E80" i="17"/>
  <c r="F80" i="17"/>
  <c r="E81" i="17"/>
  <c r="F81" i="17"/>
  <c r="E82" i="17"/>
  <c r="F82" i="17"/>
  <c r="D83" i="17"/>
  <c r="C85" i="17"/>
  <c r="D85" i="17"/>
  <c r="EU27" i="2" s="1"/>
  <c r="E86" i="17"/>
  <c r="F86" i="17"/>
  <c r="E87" i="17"/>
  <c r="F87" i="17"/>
  <c r="E88" i="17"/>
  <c r="F88" i="17"/>
  <c r="F89" i="17"/>
  <c r="D90" i="17"/>
  <c r="EX27" i="2" s="1"/>
  <c r="F91" i="17"/>
  <c r="E92" i="17"/>
  <c r="F92" i="17"/>
  <c r="E93" i="17"/>
  <c r="E94" i="17"/>
  <c r="E95" i="17"/>
  <c r="C96" i="17"/>
  <c r="EZ27" i="2" s="1"/>
  <c r="D96" i="17"/>
  <c r="FA27" i="2" s="1"/>
  <c r="E97" i="17"/>
  <c r="F97" i="17"/>
  <c r="E98" i="17"/>
  <c r="F98" i="17"/>
  <c r="E99" i="17"/>
  <c r="F99" i="17"/>
  <c r="D5" i="16"/>
  <c r="D12" i="16"/>
  <c r="D14" i="16"/>
  <c r="D17" i="16"/>
  <c r="C5" i="16"/>
  <c r="E6" i="16"/>
  <c r="F6" i="16"/>
  <c r="E8" i="16"/>
  <c r="F8" i="16"/>
  <c r="E9" i="16"/>
  <c r="F9" i="16"/>
  <c r="E10" i="16"/>
  <c r="F10" i="16"/>
  <c r="E11" i="16"/>
  <c r="F11" i="16"/>
  <c r="C12" i="16"/>
  <c r="E13" i="16"/>
  <c r="F13" i="16"/>
  <c r="C14" i="16"/>
  <c r="E15" i="16"/>
  <c r="F15" i="16"/>
  <c r="E16" i="16"/>
  <c r="F16" i="16"/>
  <c r="C17" i="16"/>
  <c r="E18" i="16"/>
  <c r="F18" i="16"/>
  <c r="E19" i="16"/>
  <c r="F19" i="16"/>
  <c r="C20" i="16"/>
  <c r="D20" i="16"/>
  <c r="E21" i="16"/>
  <c r="F21" i="16"/>
  <c r="E22" i="16"/>
  <c r="F22" i="16"/>
  <c r="E23" i="16"/>
  <c r="F23" i="16"/>
  <c r="E24" i="16"/>
  <c r="F24" i="16"/>
  <c r="C26" i="16"/>
  <c r="E27" i="16"/>
  <c r="F27" i="16"/>
  <c r="E28" i="16"/>
  <c r="F28" i="16"/>
  <c r="C29" i="16"/>
  <c r="D29" i="16"/>
  <c r="E30" i="16"/>
  <c r="F30" i="16"/>
  <c r="C31" i="16"/>
  <c r="D31" i="16"/>
  <c r="BL26" i="2" s="1"/>
  <c r="E32" i="16"/>
  <c r="F32" i="16"/>
  <c r="E33" i="16"/>
  <c r="F33" i="16"/>
  <c r="C37" i="16"/>
  <c r="E37" i="16" s="1"/>
  <c r="E38" i="16"/>
  <c r="F38" i="16"/>
  <c r="E41" i="16"/>
  <c r="F41" i="16"/>
  <c r="E43" i="16"/>
  <c r="F43" i="16"/>
  <c r="E44" i="16"/>
  <c r="F44" i="16"/>
  <c r="E45" i="16"/>
  <c r="F45" i="16"/>
  <c r="F46" i="16"/>
  <c r="F47" i="16"/>
  <c r="E49" i="16"/>
  <c r="F49" i="16"/>
  <c r="C55" i="16"/>
  <c r="F57" i="16"/>
  <c r="F58" i="16"/>
  <c r="F59" i="16"/>
  <c r="E60" i="16"/>
  <c r="F60" i="16"/>
  <c r="E61" i="16"/>
  <c r="F61" i="16"/>
  <c r="E62" i="16"/>
  <c r="F62" i="16"/>
  <c r="C63" i="16"/>
  <c r="E64" i="16"/>
  <c r="F64" i="16"/>
  <c r="E66" i="16"/>
  <c r="F66" i="16"/>
  <c r="E67" i="16"/>
  <c r="F67" i="16"/>
  <c r="E68" i="16"/>
  <c r="F68" i="16"/>
  <c r="E69" i="16"/>
  <c r="F69" i="16"/>
  <c r="E73" i="16"/>
  <c r="F73" i="16"/>
  <c r="E74" i="16"/>
  <c r="F74" i="16"/>
  <c r="E75" i="16"/>
  <c r="F75" i="16"/>
  <c r="C76" i="16"/>
  <c r="EN26" i="2" s="1"/>
  <c r="E77" i="16"/>
  <c r="F77" i="16"/>
  <c r="E78" i="16"/>
  <c r="F78" i="16"/>
  <c r="E79" i="16"/>
  <c r="F79" i="16"/>
  <c r="C80" i="16"/>
  <c r="EQ26" i="2" s="1"/>
  <c r="D80" i="16"/>
  <c r="ER26" i="2" s="1"/>
  <c r="E81" i="16"/>
  <c r="F81" i="16"/>
  <c r="C82" i="16"/>
  <c r="ET26" i="2" s="1"/>
  <c r="D82" i="16"/>
  <c r="E83" i="16"/>
  <c r="F83" i="16"/>
  <c r="E84" i="16"/>
  <c r="F84" i="16"/>
  <c r="E85" i="16"/>
  <c r="F85" i="16"/>
  <c r="F86" i="16"/>
  <c r="C87" i="16"/>
  <c r="EW26" i="2" s="1"/>
  <c r="D87" i="16"/>
  <c r="F88" i="16"/>
  <c r="E89" i="16"/>
  <c r="F89" i="16"/>
  <c r="E90" i="16"/>
  <c r="E91" i="16"/>
  <c r="E92" i="16"/>
  <c r="C93" i="16"/>
  <c r="EZ26" i="2" s="1"/>
  <c r="D93" i="16"/>
  <c r="FA26" i="2" s="1"/>
  <c r="E94" i="16"/>
  <c r="F94" i="16"/>
  <c r="E95" i="16"/>
  <c r="F95" i="16"/>
  <c r="E96" i="16"/>
  <c r="F96" i="16"/>
  <c r="D7" i="15"/>
  <c r="D14" i="15"/>
  <c r="C5" i="15"/>
  <c r="E6" i="15"/>
  <c r="F6" i="15"/>
  <c r="E8" i="15"/>
  <c r="F8" i="15"/>
  <c r="E9" i="15"/>
  <c r="F9" i="15"/>
  <c r="E10" i="15"/>
  <c r="F10" i="15"/>
  <c r="E11" i="15"/>
  <c r="F11" i="15"/>
  <c r="C12" i="15"/>
  <c r="D12" i="15"/>
  <c r="E13" i="15"/>
  <c r="F13" i="15"/>
  <c r="C14" i="15"/>
  <c r="E15" i="15"/>
  <c r="F15" i="15"/>
  <c r="E16" i="15"/>
  <c r="F16" i="15"/>
  <c r="C17" i="15"/>
  <c r="E17" i="15" s="1"/>
  <c r="E18" i="15"/>
  <c r="F18" i="15"/>
  <c r="E19" i="15"/>
  <c r="F19" i="15"/>
  <c r="C20" i="15"/>
  <c r="D20" i="15"/>
  <c r="E21" i="15"/>
  <c r="F21" i="15"/>
  <c r="E22" i="15"/>
  <c r="F22" i="15"/>
  <c r="E23" i="15"/>
  <c r="F23" i="15"/>
  <c r="E24" i="15"/>
  <c r="F24" i="15"/>
  <c r="D26" i="15"/>
  <c r="C26" i="15"/>
  <c r="E27" i="15"/>
  <c r="F27" i="15"/>
  <c r="E28" i="15"/>
  <c r="F28" i="15"/>
  <c r="C29" i="15"/>
  <c r="BE25" i="2" s="1"/>
  <c r="D29" i="15"/>
  <c r="BF25" i="2" s="1"/>
  <c r="E30" i="15"/>
  <c r="F30" i="15"/>
  <c r="C31" i="15"/>
  <c r="BK25" i="2" s="1"/>
  <c r="D31" i="15"/>
  <c r="BL25" i="2" s="1"/>
  <c r="E32" i="15"/>
  <c r="F32" i="15"/>
  <c r="E33" i="15"/>
  <c r="F33" i="15"/>
  <c r="C37" i="15"/>
  <c r="D37" i="15"/>
  <c r="BX25" i="2" s="1"/>
  <c r="E38" i="15"/>
  <c r="F38" i="15"/>
  <c r="E39" i="15"/>
  <c r="F39" i="15"/>
  <c r="F42" i="15"/>
  <c r="E43" i="15"/>
  <c r="F43" i="15"/>
  <c r="E44" i="15"/>
  <c r="F44" i="15"/>
  <c r="E45" i="15"/>
  <c r="F45" i="15"/>
  <c r="E46" i="15"/>
  <c r="F46" i="15"/>
  <c r="E47" i="15"/>
  <c r="F47" i="15"/>
  <c r="E49" i="15"/>
  <c r="F49" i="15"/>
  <c r="C56" i="15"/>
  <c r="E58" i="15"/>
  <c r="F58" i="15"/>
  <c r="F59" i="15"/>
  <c r="E60" i="15"/>
  <c r="F60" i="15"/>
  <c r="E61" i="15"/>
  <c r="F61" i="15"/>
  <c r="E62" i="15"/>
  <c r="F62" i="15"/>
  <c r="E63" i="15"/>
  <c r="F63" i="15"/>
  <c r="D64" i="15"/>
  <c r="E65" i="15"/>
  <c r="F65" i="15"/>
  <c r="E67" i="15"/>
  <c r="F67" i="15"/>
  <c r="E68" i="15"/>
  <c r="F68" i="15"/>
  <c r="E69" i="15"/>
  <c r="F69" i="15"/>
  <c r="E70" i="15"/>
  <c r="F70" i="15"/>
  <c r="D72" i="15"/>
  <c r="EL25" i="2" s="1"/>
  <c r="E73" i="15"/>
  <c r="F73" i="15"/>
  <c r="E74" i="15"/>
  <c r="F74" i="15"/>
  <c r="F75" i="15"/>
  <c r="E76" i="15"/>
  <c r="F76" i="15"/>
  <c r="EO25" i="2"/>
  <c r="E78" i="15"/>
  <c r="F78" i="15"/>
  <c r="E79" i="15"/>
  <c r="F79" i="15"/>
  <c r="C81" i="15"/>
  <c r="EQ25" i="2" s="1"/>
  <c r="D81" i="15"/>
  <c r="ER25" i="2" s="1"/>
  <c r="E82" i="15"/>
  <c r="F82" i="15"/>
  <c r="C83" i="15"/>
  <c r="ET25" i="2" s="1"/>
  <c r="D83" i="15"/>
  <c r="C88" i="15"/>
  <c r="EW25" i="2" s="1"/>
  <c r="E89" i="15"/>
  <c r="F89" i="15"/>
  <c r="E90" i="15"/>
  <c r="F90" i="15"/>
  <c r="E91" i="15"/>
  <c r="E92" i="15"/>
  <c r="E93" i="15"/>
  <c r="C94" i="15"/>
  <c r="EZ25" i="2" s="1"/>
  <c r="D94" i="15"/>
  <c r="FA25" i="2" s="1"/>
  <c r="E95" i="15"/>
  <c r="F95" i="15"/>
  <c r="E96" i="15"/>
  <c r="F96" i="15"/>
  <c r="E97" i="15"/>
  <c r="F97" i="15"/>
  <c r="D7" i="14"/>
  <c r="D14" i="14"/>
  <c r="D17" i="14"/>
  <c r="C5" i="14"/>
  <c r="E6" i="14"/>
  <c r="F6" i="14"/>
  <c r="E8" i="14"/>
  <c r="F8" i="14"/>
  <c r="E9" i="14"/>
  <c r="F9" i="14"/>
  <c r="E10" i="14"/>
  <c r="F10" i="14"/>
  <c r="E11" i="14"/>
  <c r="F11" i="14"/>
  <c r="C12" i="14"/>
  <c r="D12" i="14"/>
  <c r="E13" i="14"/>
  <c r="F13" i="14"/>
  <c r="E16" i="14"/>
  <c r="F16" i="14"/>
  <c r="E18" i="14"/>
  <c r="F18" i="14"/>
  <c r="E19" i="14"/>
  <c r="F19" i="14"/>
  <c r="C20" i="14"/>
  <c r="E21" i="14"/>
  <c r="F21" i="14"/>
  <c r="E22" i="14"/>
  <c r="F22" i="14"/>
  <c r="E23" i="14"/>
  <c r="F23" i="14"/>
  <c r="E24" i="14"/>
  <c r="F24" i="14"/>
  <c r="C26" i="14"/>
  <c r="D26" i="14"/>
  <c r="E27" i="14"/>
  <c r="F27" i="14"/>
  <c r="E28" i="14"/>
  <c r="F28" i="14"/>
  <c r="C29" i="14"/>
  <c r="D29" i="14"/>
  <c r="E30" i="14"/>
  <c r="F30" i="14"/>
  <c r="C31" i="14"/>
  <c r="D31" i="14"/>
  <c r="BL24" i="2" s="1"/>
  <c r="E32" i="14"/>
  <c r="F32" i="14"/>
  <c r="E33" i="14"/>
  <c r="F33" i="14"/>
  <c r="C37" i="14"/>
  <c r="E37" i="14" s="1"/>
  <c r="E35" i="14" s="1"/>
  <c r="E34" i="14" s="1"/>
  <c r="E38" i="14"/>
  <c r="E36" i="14" s="1"/>
  <c r="F38" i="14"/>
  <c r="F36" i="14" s="1"/>
  <c r="E39" i="14"/>
  <c r="F39" i="14"/>
  <c r="E42" i="14"/>
  <c r="F42" i="14"/>
  <c r="F44" i="14"/>
  <c r="E45" i="14"/>
  <c r="F45" i="14"/>
  <c r="E46" i="14"/>
  <c r="F46" i="14"/>
  <c r="E47" i="14"/>
  <c r="F47" i="14"/>
  <c r="F48" i="14"/>
  <c r="E49" i="14"/>
  <c r="F49" i="14"/>
  <c r="C56" i="14"/>
  <c r="D56" i="14"/>
  <c r="E58" i="14"/>
  <c r="F58" i="14"/>
  <c r="F59" i="14"/>
  <c r="E60" i="14"/>
  <c r="F60" i="14"/>
  <c r="E61" i="14"/>
  <c r="F61" i="14"/>
  <c r="E62" i="14"/>
  <c r="F62" i="14"/>
  <c r="E63" i="14"/>
  <c r="F63" i="14"/>
  <c r="C64" i="14"/>
  <c r="D64" i="14"/>
  <c r="E65" i="14"/>
  <c r="F65" i="14"/>
  <c r="EH24" i="2"/>
  <c r="E67" i="14"/>
  <c r="F67" i="14"/>
  <c r="E68" i="14"/>
  <c r="F68" i="14"/>
  <c r="E69" i="14"/>
  <c r="F69" i="14"/>
  <c r="F70" i="14"/>
  <c r="D72" i="14"/>
  <c r="EL24" i="2" s="1"/>
  <c r="E73" i="14"/>
  <c r="F73" i="14"/>
  <c r="E74" i="14"/>
  <c r="F74" i="14"/>
  <c r="E75" i="14"/>
  <c r="E76" i="14"/>
  <c r="F76" i="14"/>
  <c r="D77" i="14"/>
  <c r="EO24" i="2" s="1"/>
  <c r="E79" i="14"/>
  <c r="F79" i="14"/>
  <c r="E80" i="14"/>
  <c r="F80" i="14"/>
  <c r="ER24" i="2"/>
  <c r="E82" i="14"/>
  <c r="F82" i="14"/>
  <c r="C83" i="14"/>
  <c r="ET24" i="2" s="1"/>
  <c r="D83" i="14"/>
  <c r="EU24" i="2" s="1"/>
  <c r="E84" i="14"/>
  <c r="F84" i="14"/>
  <c r="E85" i="14"/>
  <c r="F85" i="14"/>
  <c r="E86" i="14"/>
  <c r="F86" i="14"/>
  <c r="F87" i="14"/>
  <c r="C88" i="14"/>
  <c r="EW24" i="2" s="1"/>
  <c r="E89" i="14"/>
  <c r="F89" i="14"/>
  <c r="E90" i="14"/>
  <c r="F90" i="14"/>
  <c r="E91" i="14"/>
  <c r="E92" i="14"/>
  <c r="E93" i="14"/>
  <c r="C94" i="14"/>
  <c r="D94" i="14"/>
  <c r="FA24" i="2" s="1"/>
  <c r="E95" i="14"/>
  <c r="F95" i="14"/>
  <c r="E96" i="14"/>
  <c r="F96" i="14"/>
  <c r="E97" i="14"/>
  <c r="F97" i="14"/>
  <c r="D17" i="13"/>
  <c r="C5" i="13"/>
  <c r="E6" i="13"/>
  <c r="F6" i="13"/>
  <c r="E8" i="13"/>
  <c r="F8" i="13"/>
  <c r="E9" i="13"/>
  <c r="F9" i="13"/>
  <c r="E10" i="13"/>
  <c r="F10" i="13"/>
  <c r="E11" i="13"/>
  <c r="F11" i="13"/>
  <c r="C12" i="13"/>
  <c r="E13" i="13"/>
  <c r="F13" i="13"/>
  <c r="C14" i="13"/>
  <c r="E15" i="13"/>
  <c r="F15" i="13"/>
  <c r="E16" i="13"/>
  <c r="F16" i="13"/>
  <c r="C17" i="13"/>
  <c r="F17" i="13" s="1"/>
  <c r="E18" i="13"/>
  <c r="F18" i="13"/>
  <c r="E19" i="13"/>
  <c r="F19" i="13"/>
  <c r="E20" i="13"/>
  <c r="F20" i="13"/>
  <c r="E21" i="13"/>
  <c r="F21" i="13"/>
  <c r="E22" i="13"/>
  <c r="F22" i="13"/>
  <c r="C24" i="13"/>
  <c r="E25" i="13"/>
  <c r="F25" i="13"/>
  <c r="E26" i="13"/>
  <c r="F26" i="13"/>
  <c r="C27" i="13"/>
  <c r="BE23" i="2" s="1"/>
  <c r="D27" i="13"/>
  <c r="E28" i="13"/>
  <c r="F28" i="13"/>
  <c r="D29" i="13"/>
  <c r="E30" i="13"/>
  <c r="F30" i="13"/>
  <c r="E31" i="13"/>
  <c r="F31" i="13"/>
  <c r="C33" i="13"/>
  <c r="BW23" i="2" s="1"/>
  <c r="D33" i="13"/>
  <c r="E34" i="13"/>
  <c r="F34" i="13"/>
  <c r="E35" i="13"/>
  <c r="F35" i="13"/>
  <c r="E38" i="13"/>
  <c r="F38" i="13"/>
  <c r="F41" i="13"/>
  <c r="E42" i="13"/>
  <c r="F42" i="13"/>
  <c r="E43" i="13"/>
  <c r="F43" i="13"/>
  <c r="E44" i="13"/>
  <c r="F44" i="13"/>
  <c r="F45" i="13"/>
  <c r="E46" i="13"/>
  <c r="F46" i="13"/>
  <c r="C53" i="13"/>
  <c r="E55" i="13"/>
  <c r="F55" i="13"/>
  <c r="F56" i="13"/>
  <c r="E57" i="13"/>
  <c r="F57" i="13"/>
  <c r="E58" i="13"/>
  <c r="F58" i="13"/>
  <c r="E59" i="13"/>
  <c r="F59" i="13"/>
  <c r="E60" i="13"/>
  <c r="F60" i="13"/>
  <c r="C61" i="13"/>
  <c r="E62" i="13"/>
  <c r="F62" i="13"/>
  <c r="EH23" i="2"/>
  <c r="EI23" i="2"/>
  <c r="E64" i="13"/>
  <c r="F64" i="13"/>
  <c r="E65" i="13"/>
  <c r="F65" i="13"/>
  <c r="E66" i="13"/>
  <c r="F66" i="13"/>
  <c r="E67" i="13"/>
  <c r="F67" i="13"/>
  <c r="C69" i="13"/>
  <c r="E71" i="13"/>
  <c r="F71" i="13"/>
  <c r="E72" i="13"/>
  <c r="F72" i="13"/>
  <c r="E73" i="13"/>
  <c r="F73" i="13"/>
  <c r="E75" i="13"/>
  <c r="F75" i="13"/>
  <c r="E76" i="13"/>
  <c r="F76" i="13"/>
  <c r="E77" i="13"/>
  <c r="F77" i="13"/>
  <c r="E79" i="13"/>
  <c r="C80" i="13"/>
  <c r="ET23" i="2" s="1"/>
  <c r="D80" i="13"/>
  <c r="E81" i="13"/>
  <c r="F81" i="13"/>
  <c r="E82" i="13"/>
  <c r="F82" i="13"/>
  <c r="E83" i="13"/>
  <c r="F83" i="13"/>
  <c r="F84" i="13"/>
  <c r="C85" i="13"/>
  <c r="EW23" i="2" s="1"/>
  <c r="D85" i="13"/>
  <c r="EX23" i="2" s="1"/>
  <c r="E86" i="13"/>
  <c r="F86" i="13"/>
  <c r="E87" i="13"/>
  <c r="F87" i="13"/>
  <c r="E88" i="13"/>
  <c r="E89" i="13"/>
  <c r="E90" i="13"/>
  <c r="C91" i="13"/>
  <c r="EZ23" i="2" s="1"/>
  <c r="D91" i="13"/>
  <c r="FA23" i="2" s="1"/>
  <c r="E92" i="13"/>
  <c r="F92" i="13"/>
  <c r="E93" i="13"/>
  <c r="F93" i="13"/>
  <c r="E94" i="13"/>
  <c r="F94" i="13"/>
  <c r="D5" i="12"/>
  <c r="D7" i="12"/>
  <c r="D12" i="12"/>
  <c r="D14" i="12"/>
  <c r="C5" i="12"/>
  <c r="E6" i="12"/>
  <c r="F6" i="12"/>
  <c r="E8" i="12"/>
  <c r="F8" i="12"/>
  <c r="F9" i="12"/>
  <c r="E10" i="12"/>
  <c r="F10" i="12"/>
  <c r="E11" i="12"/>
  <c r="F11" i="12"/>
  <c r="C12" i="12"/>
  <c r="E13" i="12"/>
  <c r="F13" i="12"/>
  <c r="E15" i="12"/>
  <c r="F15" i="12"/>
  <c r="E16" i="12"/>
  <c r="F16" i="12"/>
  <c r="C17" i="12"/>
  <c r="E18" i="12"/>
  <c r="F18" i="12"/>
  <c r="E19" i="12"/>
  <c r="F19" i="12"/>
  <c r="E21" i="12"/>
  <c r="F21" i="12"/>
  <c r="E22" i="12"/>
  <c r="F22" i="12"/>
  <c r="E23" i="12"/>
  <c r="F23" i="12"/>
  <c r="E24" i="12"/>
  <c r="F24" i="12"/>
  <c r="D26" i="12"/>
  <c r="C26" i="12"/>
  <c r="E27" i="12"/>
  <c r="F27" i="12"/>
  <c r="E28" i="12"/>
  <c r="F28" i="12"/>
  <c r="BE22" i="2"/>
  <c r="E30" i="12"/>
  <c r="F30" i="12"/>
  <c r="C32" i="12"/>
  <c r="D32" i="12"/>
  <c r="BL22" i="2" s="1"/>
  <c r="E33" i="12"/>
  <c r="F33" i="12"/>
  <c r="E34" i="12"/>
  <c r="F34" i="12"/>
  <c r="C37" i="12"/>
  <c r="BW22" i="2" s="1"/>
  <c r="E38" i="12"/>
  <c r="F38" i="12"/>
  <c r="E39" i="12"/>
  <c r="F39" i="12"/>
  <c r="E42" i="12"/>
  <c r="F42" i="12"/>
  <c r="E43" i="12"/>
  <c r="F43" i="12"/>
  <c r="E44" i="12"/>
  <c r="F44" i="12"/>
  <c r="E45" i="12"/>
  <c r="F45" i="12"/>
  <c r="E46" i="12"/>
  <c r="F46" i="12"/>
  <c r="E47" i="12"/>
  <c r="F47" i="12"/>
  <c r="E50" i="12"/>
  <c r="F50" i="12"/>
  <c r="F59" i="12"/>
  <c r="E60" i="12"/>
  <c r="F60" i="12"/>
  <c r="E61" i="12"/>
  <c r="F61" i="12"/>
  <c r="E62" i="12"/>
  <c r="F62" i="12"/>
  <c r="E63" i="12"/>
  <c r="F63" i="12"/>
  <c r="C64" i="12"/>
  <c r="E65" i="12"/>
  <c r="F65" i="12"/>
  <c r="EH22" i="2"/>
  <c r="EI22" i="2"/>
  <c r="E67" i="12"/>
  <c r="F67" i="12"/>
  <c r="E68" i="12"/>
  <c r="F68" i="12"/>
  <c r="E69" i="12"/>
  <c r="F69" i="12"/>
  <c r="E70" i="12"/>
  <c r="F70" i="12"/>
  <c r="D72" i="12"/>
  <c r="EL22" i="2" s="1"/>
  <c r="F73" i="12"/>
  <c r="E74" i="12"/>
  <c r="F74" i="12"/>
  <c r="F76" i="12"/>
  <c r="F77" i="12"/>
  <c r="C78" i="12"/>
  <c r="EN22" i="2" s="1"/>
  <c r="E79" i="12"/>
  <c r="F79" i="12"/>
  <c r="E80" i="12"/>
  <c r="F80" i="12"/>
  <c r="E81" i="12"/>
  <c r="F81" i="12"/>
  <c r="E83" i="12"/>
  <c r="F83" i="12"/>
  <c r="C84" i="12"/>
  <c r="ET22" i="2" s="1"/>
  <c r="D84" i="12"/>
  <c r="EU22" i="2" s="1"/>
  <c r="E85" i="12"/>
  <c r="F85" i="12"/>
  <c r="E86" i="12"/>
  <c r="F86" i="12"/>
  <c r="E87" i="12"/>
  <c r="F87" i="12"/>
  <c r="F88" i="12"/>
  <c r="E89" i="12"/>
  <c r="F89" i="12"/>
  <c r="E90" i="12"/>
  <c r="F90" i="12"/>
  <c r="E91" i="12"/>
  <c r="E92" i="12"/>
  <c r="E93" i="12"/>
  <c r="E94" i="12"/>
  <c r="F94" i="12"/>
  <c r="E95" i="12"/>
  <c r="F95" i="12"/>
  <c r="E97" i="12"/>
  <c r="F97" i="12"/>
  <c r="D5" i="11"/>
  <c r="D7" i="11"/>
  <c r="D17" i="11"/>
  <c r="C5" i="11"/>
  <c r="E6" i="11"/>
  <c r="F6" i="11"/>
  <c r="E8" i="11"/>
  <c r="F8" i="11"/>
  <c r="E9" i="11"/>
  <c r="F9" i="11"/>
  <c r="E10" i="11"/>
  <c r="F10" i="11"/>
  <c r="E11" i="11"/>
  <c r="F11" i="11"/>
  <c r="C12" i="11"/>
  <c r="E13" i="11"/>
  <c r="F13" i="11"/>
  <c r="C14" i="11"/>
  <c r="E15" i="11"/>
  <c r="F15" i="11"/>
  <c r="E16" i="11"/>
  <c r="F16" i="11"/>
  <c r="C17" i="11"/>
  <c r="E18" i="11"/>
  <c r="F18" i="11"/>
  <c r="E19" i="11"/>
  <c r="F19" i="11"/>
  <c r="C20" i="11"/>
  <c r="D20" i="11"/>
  <c r="AQ21" i="2" s="1"/>
  <c r="E21" i="11"/>
  <c r="F21" i="11"/>
  <c r="E22" i="11"/>
  <c r="F22" i="11"/>
  <c r="E23" i="11"/>
  <c r="F23" i="11"/>
  <c r="E24" i="11"/>
  <c r="F24" i="11"/>
  <c r="D36" i="11"/>
  <c r="BX21" i="2" s="1"/>
  <c r="E27" i="11"/>
  <c r="F27" i="11"/>
  <c r="E28" i="11"/>
  <c r="F28" i="11"/>
  <c r="C29" i="11"/>
  <c r="D29" i="11"/>
  <c r="E30" i="11"/>
  <c r="F30" i="11"/>
  <c r="C31" i="11"/>
  <c r="BK21" i="2" s="1"/>
  <c r="D31" i="11"/>
  <c r="BL21" i="2" s="1"/>
  <c r="E32" i="11"/>
  <c r="F32" i="11"/>
  <c r="F33" i="11"/>
  <c r="C36" i="11"/>
  <c r="E38" i="11"/>
  <c r="F38" i="11"/>
  <c r="E41" i="11"/>
  <c r="F41" i="11"/>
  <c r="E43" i="11"/>
  <c r="F43" i="11"/>
  <c r="E44" i="11"/>
  <c r="F44" i="11"/>
  <c r="E45" i="11"/>
  <c r="F45" i="11"/>
  <c r="E46" i="11"/>
  <c r="F46" i="11"/>
  <c r="F47" i="11"/>
  <c r="E48" i="11"/>
  <c r="F48" i="11"/>
  <c r="C56" i="11"/>
  <c r="E58" i="11"/>
  <c r="F58" i="11"/>
  <c r="F59" i="11"/>
  <c r="E60" i="11"/>
  <c r="F60" i="11"/>
  <c r="E61" i="11"/>
  <c r="F61" i="11"/>
  <c r="E62" i="11"/>
  <c r="F62" i="11"/>
  <c r="E63" i="11"/>
  <c r="F63" i="11"/>
  <c r="C64" i="11"/>
  <c r="F65" i="11"/>
  <c r="EH21" i="2"/>
  <c r="E67" i="11"/>
  <c r="F67" i="11"/>
  <c r="E68" i="11"/>
  <c r="F68" i="11"/>
  <c r="E69" i="11"/>
  <c r="F69" i="11"/>
  <c r="E70" i="11"/>
  <c r="F70" i="11"/>
  <c r="D72" i="11"/>
  <c r="EL21" i="2" s="1"/>
  <c r="E74" i="11"/>
  <c r="F74" i="11"/>
  <c r="E76" i="11"/>
  <c r="F76" i="11"/>
  <c r="C77" i="11"/>
  <c r="EN21" i="2" s="1"/>
  <c r="D77" i="11"/>
  <c r="E80" i="11"/>
  <c r="F80" i="11"/>
  <c r="F82" i="11"/>
  <c r="C83" i="11"/>
  <c r="ET21" i="2" s="1"/>
  <c r="D83" i="11"/>
  <c r="E84" i="11"/>
  <c r="F84" i="11"/>
  <c r="E85" i="11"/>
  <c r="F85" i="11"/>
  <c r="E86" i="11"/>
  <c r="F86" i="11"/>
  <c r="F87" i="11"/>
  <c r="C88" i="11"/>
  <c r="EW21" i="2" s="1"/>
  <c r="D88" i="11"/>
  <c r="EX21" i="2" s="1"/>
  <c r="E89" i="11"/>
  <c r="F89" i="11"/>
  <c r="E90" i="11"/>
  <c r="F90" i="11"/>
  <c r="E91" i="11"/>
  <c r="E92" i="11"/>
  <c r="E93" i="11"/>
  <c r="C94" i="11"/>
  <c r="EZ21" i="2" s="1"/>
  <c r="D94" i="11"/>
  <c r="FA21" i="2" s="1"/>
  <c r="E95" i="11"/>
  <c r="F95" i="11"/>
  <c r="E96" i="11"/>
  <c r="F96" i="11"/>
  <c r="E97" i="11"/>
  <c r="F97" i="11"/>
  <c r="C5" i="10"/>
  <c r="D5" i="10"/>
  <c r="E6" i="10"/>
  <c r="F6" i="10"/>
  <c r="E8" i="10"/>
  <c r="F8" i="10"/>
  <c r="E9" i="10"/>
  <c r="F9" i="10"/>
  <c r="E10" i="10"/>
  <c r="F10" i="10"/>
  <c r="E11" i="10"/>
  <c r="F11" i="10"/>
  <c r="C12" i="10"/>
  <c r="D12" i="10"/>
  <c r="E13" i="10"/>
  <c r="F13" i="10"/>
  <c r="C14" i="10"/>
  <c r="D14" i="10"/>
  <c r="E15" i="10"/>
  <c r="F15" i="10"/>
  <c r="E16" i="10"/>
  <c r="F16" i="10"/>
  <c r="C17" i="10"/>
  <c r="D17" i="10"/>
  <c r="E18" i="10"/>
  <c r="F18" i="10"/>
  <c r="E19" i="10"/>
  <c r="F19" i="10"/>
  <c r="C20" i="10"/>
  <c r="D20" i="10"/>
  <c r="E21" i="10"/>
  <c r="F21" i="10"/>
  <c r="E22" i="10"/>
  <c r="F22" i="10"/>
  <c r="E23" i="10"/>
  <c r="F23" i="10"/>
  <c r="E24" i="10"/>
  <c r="F24" i="10"/>
  <c r="C26" i="10"/>
  <c r="E27" i="10"/>
  <c r="F27" i="10"/>
  <c r="E28" i="10"/>
  <c r="F28" i="10"/>
  <c r="C30" i="10"/>
  <c r="D30" i="10"/>
  <c r="E31" i="10"/>
  <c r="F31" i="10"/>
  <c r="C32" i="10"/>
  <c r="D32" i="10"/>
  <c r="BL20" i="2" s="1"/>
  <c r="E33" i="10"/>
  <c r="F33" i="10"/>
  <c r="E34" i="10"/>
  <c r="F34" i="10"/>
  <c r="C37" i="10"/>
  <c r="BW20" i="2" s="1"/>
  <c r="D37" i="10"/>
  <c r="BX20" i="2" s="1"/>
  <c r="E38" i="10"/>
  <c r="F38" i="10"/>
  <c r="E39" i="10"/>
  <c r="F39" i="10"/>
  <c r="E42" i="10"/>
  <c r="E44" i="10"/>
  <c r="F44" i="10"/>
  <c r="E46" i="10"/>
  <c r="F46" i="10"/>
  <c r="E47" i="10"/>
  <c r="F47" i="10"/>
  <c r="E48" i="10"/>
  <c r="F48" i="10"/>
  <c r="E49" i="10"/>
  <c r="F49" i="10"/>
  <c r="F50" i="10"/>
  <c r="E51" i="10"/>
  <c r="F51" i="10"/>
  <c r="C57" i="10"/>
  <c r="D57" i="10"/>
  <c r="E59" i="10"/>
  <c r="F59" i="10"/>
  <c r="F60" i="10"/>
  <c r="E61" i="10"/>
  <c r="F61" i="10"/>
  <c r="E62" i="10"/>
  <c r="F62" i="10"/>
  <c r="E63" i="10"/>
  <c r="F63" i="10"/>
  <c r="E64" i="10"/>
  <c r="F64" i="10"/>
  <c r="C65" i="10"/>
  <c r="E66" i="10"/>
  <c r="F66" i="10"/>
  <c r="EH20" i="2"/>
  <c r="EI20" i="2"/>
  <c r="E68" i="10"/>
  <c r="F68" i="10"/>
  <c r="E69" i="10"/>
  <c r="F69" i="10"/>
  <c r="E70" i="10"/>
  <c r="F70" i="10"/>
  <c r="E71" i="10"/>
  <c r="F71" i="10"/>
  <c r="D73" i="10"/>
  <c r="E74" i="10"/>
  <c r="F74" i="10"/>
  <c r="E75" i="10"/>
  <c r="E76" i="10"/>
  <c r="F76" i="10"/>
  <c r="E77" i="10"/>
  <c r="F77" i="10"/>
  <c r="C78" i="10"/>
  <c r="EN20" i="2" s="1"/>
  <c r="D78" i="10"/>
  <c r="E79" i="10"/>
  <c r="F79" i="10"/>
  <c r="E80" i="10"/>
  <c r="F80" i="10"/>
  <c r="E81" i="10"/>
  <c r="F81" i="10"/>
  <c r="E82" i="10"/>
  <c r="F82" i="10"/>
  <c r="C83" i="10"/>
  <c r="D83" i="10"/>
  <c r="ER20" i="2" s="1"/>
  <c r="E84" i="10"/>
  <c r="F84" i="10"/>
  <c r="C85" i="10"/>
  <c r="ET20" i="2" s="1"/>
  <c r="D85" i="10"/>
  <c r="EU20" i="2" s="1"/>
  <c r="E86" i="10"/>
  <c r="F86" i="10"/>
  <c r="E87" i="10"/>
  <c r="F87" i="10"/>
  <c r="E88" i="10"/>
  <c r="F88" i="10"/>
  <c r="F89" i="10"/>
  <c r="C90" i="10"/>
  <c r="EW20" i="2" s="1"/>
  <c r="D90" i="10"/>
  <c r="EX20" i="2" s="1"/>
  <c r="E91" i="10"/>
  <c r="F91" i="10"/>
  <c r="E92" i="10"/>
  <c r="F92" i="10"/>
  <c r="E93" i="10"/>
  <c r="E94" i="10"/>
  <c r="E95" i="10"/>
  <c r="C96" i="10"/>
  <c r="EZ20" i="2" s="1"/>
  <c r="D96" i="10"/>
  <c r="E97" i="10"/>
  <c r="F97" i="10"/>
  <c r="E98" i="10"/>
  <c r="F98" i="10"/>
  <c r="E99" i="10"/>
  <c r="F99" i="10"/>
  <c r="C5" i="9"/>
  <c r="E6" i="9"/>
  <c r="F6" i="9"/>
  <c r="D7" i="9"/>
  <c r="E8" i="9"/>
  <c r="F8" i="9"/>
  <c r="E9" i="9"/>
  <c r="F9" i="9"/>
  <c r="E10" i="9"/>
  <c r="F10" i="9"/>
  <c r="E11" i="9"/>
  <c r="F11" i="9"/>
  <c r="C12" i="9"/>
  <c r="F13" i="9"/>
  <c r="C14" i="9"/>
  <c r="D14" i="9"/>
  <c r="E15" i="9"/>
  <c r="F15" i="9"/>
  <c r="E16" i="9"/>
  <c r="F16" i="9"/>
  <c r="C17" i="9"/>
  <c r="D17" i="9"/>
  <c r="E18" i="9"/>
  <c r="F18" i="9"/>
  <c r="E19" i="9"/>
  <c r="F19" i="9"/>
  <c r="C20" i="9"/>
  <c r="D20" i="9"/>
  <c r="E21" i="9"/>
  <c r="F21" i="9"/>
  <c r="E22" i="9"/>
  <c r="F22" i="9"/>
  <c r="E23" i="9"/>
  <c r="F23" i="9"/>
  <c r="E24" i="9"/>
  <c r="F24" i="9"/>
  <c r="C26" i="9"/>
  <c r="D26" i="9"/>
  <c r="E27" i="9"/>
  <c r="F27" i="9"/>
  <c r="E28" i="9"/>
  <c r="F28" i="9"/>
  <c r="C29" i="9"/>
  <c r="D29" i="9"/>
  <c r="E30" i="9"/>
  <c r="F30" i="9"/>
  <c r="C31" i="9"/>
  <c r="BK19" i="2" s="1"/>
  <c r="D31" i="9"/>
  <c r="BL19" i="2" s="1"/>
  <c r="E32" i="9"/>
  <c r="F32" i="9"/>
  <c r="E33" i="9"/>
  <c r="F33" i="9"/>
  <c r="C36" i="9"/>
  <c r="BW19" i="2" s="1"/>
  <c r="D36" i="9"/>
  <c r="BX19" i="2" s="1"/>
  <c r="E37" i="9"/>
  <c r="F37" i="9"/>
  <c r="E38" i="9"/>
  <c r="F38" i="9"/>
  <c r="E41" i="9"/>
  <c r="F41" i="9"/>
  <c r="E43" i="9"/>
  <c r="F43" i="9"/>
  <c r="E45" i="9"/>
  <c r="F45" i="9"/>
  <c r="E46" i="9"/>
  <c r="F46" i="9"/>
  <c r="E48" i="9"/>
  <c r="F48" i="9"/>
  <c r="F49" i="9"/>
  <c r="E50" i="9"/>
  <c r="F50" i="9"/>
  <c r="C57" i="9"/>
  <c r="E59" i="9"/>
  <c r="F59" i="9"/>
  <c r="F60" i="9"/>
  <c r="E61" i="9"/>
  <c r="F61" i="9"/>
  <c r="E62" i="9"/>
  <c r="F62" i="9"/>
  <c r="E63" i="9"/>
  <c r="F63" i="9"/>
  <c r="E64" i="9"/>
  <c r="F64" i="9"/>
  <c r="C65" i="9"/>
  <c r="E66" i="9"/>
  <c r="F66" i="9"/>
  <c r="EH19" i="2"/>
  <c r="E68" i="9"/>
  <c r="F68" i="9"/>
  <c r="E69" i="9"/>
  <c r="F69" i="9"/>
  <c r="E70" i="9"/>
  <c r="F70" i="9"/>
  <c r="E71" i="9"/>
  <c r="F71" i="9"/>
  <c r="C73" i="9"/>
  <c r="E74" i="9"/>
  <c r="F74" i="9"/>
  <c r="E75" i="9"/>
  <c r="F75" i="9"/>
  <c r="E77" i="9"/>
  <c r="F77" i="9"/>
  <c r="C78" i="9"/>
  <c r="D78" i="9"/>
  <c r="EO19" i="2" s="1"/>
  <c r="E79" i="9"/>
  <c r="F79" i="9"/>
  <c r="E80" i="9"/>
  <c r="F80" i="9"/>
  <c r="F81" i="9"/>
  <c r="E82" i="9"/>
  <c r="F82" i="9"/>
  <c r="C83" i="9"/>
  <c r="EQ19" i="2" s="1"/>
  <c r="E84" i="9"/>
  <c r="F84" i="9"/>
  <c r="E85" i="9"/>
  <c r="F85" i="9"/>
  <c r="C86" i="9"/>
  <c r="D86" i="9"/>
  <c r="C93" i="9"/>
  <c r="D93" i="9"/>
  <c r="EX19" i="2" s="1"/>
  <c r="E94" i="9"/>
  <c r="F94" i="9"/>
  <c r="E95" i="9"/>
  <c r="F95" i="9"/>
  <c r="E96" i="9"/>
  <c r="E97" i="9"/>
  <c r="E98" i="9"/>
  <c r="C99" i="9"/>
  <c r="EZ19" i="2" s="1"/>
  <c r="D99" i="9"/>
  <c r="FA19" i="2" s="1"/>
  <c r="E100" i="9"/>
  <c r="F100" i="9"/>
  <c r="E101" i="9"/>
  <c r="F101" i="9"/>
  <c r="E102" i="9"/>
  <c r="F102" i="9"/>
  <c r="C5" i="8"/>
  <c r="E6" i="8"/>
  <c r="F6" i="8"/>
  <c r="E8" i="8"/>
  <c r="F8" i="8"/>
  <c r="E9" i="8"/>
  <c r="F9" i="8"/>
  <c r="E10" i="8"/>
  <c r="F10" i="8"/>
  <c r="E11" i="8"/>
  <c r="F11" i="8"/>
  <c r="C12" i="8"/>
  <c r="D12" i="8"/>
  <c r="E13" i="8"/>
  <c r="F13" i="8"/>
  <c r="C14" i="8"/>
  <c r="D14" i="8"/>
  <c r="E15" i="8"/>
  <c r="F15" i="8"/>
  <c r="E16" i="8"/>
  <c r="F16" i="8"/>
  <c r="C17" i="8"/>
  <c r="D17" i="8"/>
  <c r="E18" i="8"/>
  <c r="F18" i="8"/>
  <c r="E19" i="8"/>
  <c r="F19" i="8"/>
  <c r="C20" i="8"/>
  <c r="D20" i="8"/>
  <c r="E21" i="8"/>
  <c r="F21" i="8"/>
  <c r="E22" i="8"/>
  <c r="F22" i="8"/>
  <c r="E23" i="8"/>
  <c r="F23" i="8"/>
  <c r="E24" i="8"/>
  <c r="F24" i="8"/>
  <c r="D26" i="8"/>
  <c r="E27" i="8"/>
  <c r="F27" i="8"/>
  <c r="E28" i="8"/>
  <c r="F28" i="8"/>
  <c r="C29" i="8"/>
  <c r="D29" i="8"/>
  <c r="BF18" i="2" s="1"/>
  <c r="E30" i="8"/>
  <c r="F30" i="8"/>
  <c r="C31" i="8"/>
  <c r="D31" i="8"/>
  <c r="BL18" i="2" s="1"/>
  <c r="E32" i="8"/>
  <c r="F32" i="8"/>
  <c r="E33" i="8"/>
  <c r="BM18" i="2" s="1"/>
  <c r="F33" i="8"/>
  <c r="BN18" i="2" s="1"/>
  <c r="BN31" i="2" s="1"/>
  <c r="D34" i="8"/>
  <c r="BU18" i="2" s="1"/>
  <c r="E35" i="8"/>
  <c r="F35" i="8"/>
  <c r="C36" i="8"/>
  <c r="F37" i="8"/>
  <c r="F38" i="8"/>
  <c r="E41" i="8"/>
  <c r="F41" i="8"/>
  <c r="E43" i="8"/>
  <c r="F43" i="8"/>
  <c r="E45" i="8"/>
  <c r="F45" i="8"/>
  <c r="E46" i="8"/>
  <c r="F46" i="8"/>
  <c r="C56" i="8"/>
  <c r="D56" i="8"/>
  <c r="E58" i="8"/>
  <c r="F58" i="8"/>
  <c r="F59" i="8"/>
  <c r="E60" i="8"/>
  <c r="F60" i="8"/>
  <c r="E61" i="8"/>
  <c r="F61" i="8"/>
  <c r="E62" i="8"/>
  <c r="F62" i="8"/>
  <c r="E63" i="8"/>
  <c r="F63" i="8"/>
  <c r="C64" i="8"/>
  <c r="EE18" i="2" s="1"/>
  <c r="D64" i="8"/>
  <c r="EF18" i="2" s="1"/>
  <c r="E65" i="8"/>
  <c r="F65" i="8"/>
  <c r="E67" i="8"/>
  <c r="F67" i="8"/>
  <c r="E68" i="8"/>
  <c r="F68" i="8"/>
  <c r="E69" i="8"/>
  <c r="F69" i="8"/>
  <c r="E70" i="8"/>
  <c r="F70" i="8"/>
  <c r="D72" i="8"/>
  <c r="EL18" i="2" s="1"/>
  <c r="E73" i="8"/>
  <c r="F73" i="8"/>
  <c r="F74" i="8"/>
  <c r="E75" i="8"/>
  <c r="F75" i="8"/>
  <c r="E76" i="8"/>
  <c r="F76" i="8"/>
  <c r="D77" i="8"/>
  <c r="EO18" i="2" s="1"/>
  <c r="E78" i="8"/>
  <c r="F78" i="8"/>
  <c r="E79" i="8"/>
  <c r="F79" i="8"/>
  <c r="E82" i="8"/>
  <c r="F82" i="8"/>
  <c r="C84" i="8"/>
  <c r="ET18" i="2" s="1"/>
  <c r="D84" i="8"/>
  <c r="E85" i="8"/>
  <c r="F85" i="8"/>
  <c r="E86" i="8"/>
  <c r="F86" i="8"/>
  <c r="E87" i="8"/>
  <c r="F87" i="8"/>
  <c r="F88" i="8"/>
  <c r="C89" i="8"/>
  <c r="EW18" i="2" s="1"/>
  <c r="D89" i="8"/>
  <c r="EX18" i="2" s="1"/>
  <c r="E90" i="8"/>
  <c r="F90" i="8"/>
  <c r="E91" i="8"/>
  <c r="F91" i="8"/>
  <c r="E92" i="8"/>
  <c r="E93" i="8"/>
  <c r="E94" i="8"/>
  <c r="C95" i="8"/>
  <c r="EZ18" i="2" s="1"/>
  <c r="E96" i="8"/>
  <c r="F96" i="8"/>
  <c r="E97" i="8"/>
  <c r="F97" i="8"/>
  <c r="C5" i="7"/>
  <c r="D5" i="7"/>
  <c r="E6" i="7"/>
  <c r="F6" i="7"/>
  <c r="E8" i="7"/>
  <c r="F8" i="7"/>
  <c r="E9" i="7"/>
  <c r="F9" i="7"/>
  <c r="E10" i="7"/>
  <c r="F10" i="7"/>
  <c r="E11" i="7"/>
  <c r="F11" i="7"/>
  <c r="C12" i="7"/>
  <c r="C14" i="7"/>
  <c r="D14" i="7"/>
  <c r="E15" i="7"/>
  <c r="F15" i="7"/>
  <c r="E16" i="7"/>
  <c r="F16" i="7"/>
  <c r="C17" i="7"/>
  <c r="D17" i="7"/>
  <c r="E18" i="7"/>
  <c r="F18" i="7"/>
  <c r="E19" i="7"/>
  <c r="F19" i="7"/>
  <c r="C20" i="7"/>
  <c r="D20" i="7"/>
  <c r="E21" i="7"/>
  <c r="F21" i="7"/>
  <c r="E22" i="7"/>
  <c r="F22" i="7"/>
  <c r="E23" i="7"/>
  <c r="F23" i="7"/>
  <c r="E24" i="7"/>
  <c r="F24" i="7"/>
  <c r="C26" i="7"/>
  <c r="E27" i="7"/>
  <c r="F27" i="7"/>
  <c r="E28" i="7"/>
  <c r="F28" i="7"/>
  <c r="C29" i="7"/>
  <c r="D29" i="7"/>
  <c r="E30" i="7"/>
  <c r="F30" i="7"/>
  <c r="C36" i="7"/>
  <c r="E38" i="7"/>
  <c r="F38" i="7"/>
  <c r="E41" i="7"/>
  <c r="F41" i="7"/>
  <c r="E43" i="7"/>
  <c r="F43" i="7"/>
  <c r="E45" i="7"/>
  <c r="F45" i="7"/>
  <c r="E46" i="7"/>
  <c r="F46" i="7"/>
  <c r="E47" i="7"/>
  <c r="F47" i="7"/>
  <c r="F48" i="7"/>
  <c r="E49" i="7"/>
  <c r="F49" i="7"/>
  <c r="E57" i="7"/>
  <c r="F57" i="7"/>
  <c r="F58" i="7"/>
  <c r="E59" i="7"/>
  <c r="F59" i="7"/>
  <c r="E60" i="7"/>
  <c r="F60" i="7"/>
  <c r="E61" i="7"/>
  <c r="F61" i="7"/>
  <c r="E62" i="7"/>
  <c r="F62" i="7"/>
  <c r="C63" i="7"/>
  <c r="E64" i="7"/>
  <c r="F64" i="7"/>
  <c r="E66" i="7"/>
  <c r="F66" i="7"/>
  <c r="E67" i="7"/>
  <c r="F67" i="7"/>
  <c r="E68" i="7"/>
  <c r="F68" i="7"/>
  <c r="E69" i="7"/>
  <c r="F69" i="7"/>
  <c r="E72" i="7"/>
  <c r="F72" i="7"/>
  <c r="E74" i="7"/>
  <c r="F74" i="7"/>
  <c r="E75" i="7"/>
  <c r="F75" i="7"/>
  <c r="E77" i="7"/>
  <c r="F77" i="7"/>
  <c r="E78" i="7"/>
  <c r="F78" i="7"/>
  <c r="E79" i="7"/>
  <c r="C80" i="7"/>
  <c r="E81" i="7"/>
  <c r="F81" i="7"/>
  <c r="C82" i="7"/>
  <c r="E83" i="7"/>
  <c r="F83" i="7"/>
  <c r="E84" i="7"/>
  <c r="F84" i="7"/>
  <c r="E85" i="7"/>
  <c r="F85" i="7"/>
  <c r="F86" i="7"/>
  <c r="C87" i="7"/>
  <c r="EW17" i="2" s="1"/>
  <c r="E88" i="7"/>
  <c r="F88" i="7"/>
  <c r="E89" i="7"/>
  <c r="F89" i="7"/>
  <c r="E90" i="7"/>
  <c r="E91" i="7"/>
  <c r="E92" i="7"/>
  <c r="C93" i="7"/>
  <c r="EZ17" i="2" s="1"/>
  <c r="D93" i="7"/>
  <c r="E94" i="7"/>
  <c r="F94" i="7"/>
  <c r="E95" i="7"/>
  <c r="F95" i="7"/>
  <c r="E96" i="7"/>
  <c r="F96" i="7"/>
  <c r="C5" i="6"/>
  <c r="E6" i="6"/>
  <c r="F6" i="6"/>
  <c r="D7" i="6"/>
  <c r="E8" i="6"/>
  <c r="F8" i="6"/>
  <c r="E9" i="6"/>
  <c r="F9" i="6"/>
  <c r="E10" i="6"/>
  <c r="F10" i="6"/>
  <c r="E11" i="6"/>
  <c r="F11" i="6"/>
  <c r="C12" i="6"/>
  <c r="E13" i="6"/>
  <c r="F13" i="6"/>
  <c r="C14" i="6"/>
  <c r="D14" i="6"/>
  <c r="E15" i="6"/>
  <c r="F15" i="6"/>
  <c r="E16" i="6"/>
  <c r="F16" i="6"/>
  <c r="C17" i="6"/>
  <c r="D17" i="6"/>
  <c r="E18" i="6"/>
  <c r="F18" i="6"/>
  <c r="E19" i="6"/>
  <c r="F19" i="6"/>
  <c r="C20" i="6"/>
  <c r="D20" i="6"/>
  <c r="E21" i="6"/>
  <c r="F21" i="6"/>
  <c r="E22" i="6"/>
  <c r="F22" i="6"/>
  <c r="E23" i="6"/>
  <c r="F23" i="6"/>
  <c r="E24" i="6"/>
  <c r="F24" i="6"/>
  <c r="E27" i="6"/>
  <c r="F27" i="6"/>
  <c r="E28" i="6"/>
  <c r="F28" i="6"/>
  <c r="E29" i="6"/>
  <c r="F29" i="6"/>
  <c r="C30" i="6"/>
  <c r="BE16" i="2" s="1"/>
  <c r="BF16" i="2"/>
  <c r="E31" i="6"/>
  <c r="F31" i="6"/>
  <c r="D33" i="6"/>
  <c r="BL16" i="2" s="1"/>
  <c r="E34" i="6"/>
  <c r="F34" i="6"/>
  <c r="E35" i="6"/>
  <c r="F35" i="6"/>
  <c r="E38" i="6"/>
  <c r="F38" i="6"/>
  <c r="BX16" i="2"/>
  <c r="E40" i="6"/>
  <c r="F42" i="6"/>
  <c r="E43" i="6"/>
  <c r="F43" i="6"/>
  <c r="E44" i="6"/>
  <c r="F44" i="6"/>
  <c r="E45" i="6"/>
  <c r="F45" i="6"/>
  <c r="E48" i="6"/>
  <c r="F48" i="6"/>
  <c r="E49" i="6"/>
  <c r="F49" i="6"/>
  <c r="F50" i="6"/>
  <c r="C56" i="6"/>
  <c r="D56" i="6"/>
  <c r="E58" i="6"/>
  <c r="F58" i="6"/>
  <c r="F59" i="6"/>
  <c r="E60" i="6"/>
  <c r="F60" i="6"/>
  <c r="E61" i="6"/>
  <c r="F61" i="6"/>
  <c r="E62" i="6"/>
  <c r="F62" i="6"/>
  <c r="E63" i="6"/>
  <c r="F63" i="6"/>
  <c r="C64" i="6"/>
  <c r="E65" i="6"/>
  <c r="F65" i="6"/>
  <c r="EH16" i="2"/>
  <c r="E67" i="6"/>
  <c r="F67" i="6"/>
  <c r="E68" i="6"/>
  <c r="F68" i="6"/>
  <c r="E69" i="6"/>
  <c r="F69" i="6"/>
  <c r="E70" i="6"/>
  <c r="F70" i="6"/>
  <c r="D72" i="6"/>
  <c r="EL16" i="2" s="1"/>
  <c r="E73" i="6"/>
  <c r="F73" i="6"/>
  <c r="E74" i="6"/>
  <c r="F74" i="6"/>
  <c r="E76" i="6"/>
  <c r="F76" i="6"/>
  <c r="C79" i="6"/>
  <c r="D79" i="6"/>
  <c r="EO16" i="2" s="1"/>
  <c r="E80" i="6"/>
  <c r="F80" i="6"/>
  <c r="E81" i="6"/>
  <c r="F81" i="6"/>
  <c r="E82" i="6"/>
  <c r="F82" i="6"/>
  <c r="C83" i="6"/>
  <c r="EQ16" i="2" s="1"/>
  <c r="D83" i="6"/>
  <c r="ER16" i="2" s="1"/>
  <c r="E84" i="6"/>
  <c r="F84" i="6"/>
  <c r="C85" i="6"/>
  <c r="ET16" i="2" s="1"/>
  <c r="D85" i="6"/>
  <c r="EU16" i="2" s="1"/>
  <c r="E86" i="6"/>
  <c r="F86" i="6"/>
  <c r="E87" i="6"/>
  <c r="F87" i="6"/>
  <c r="E88" i="6"/>
  <c r="F88" i="6"/>
  <c r="F89" i="6"/>
  <c r="C90" i="6"/>
  <c r="EW16" i="2" s="1"/>
  <c r="D90" i="6"/>
  <c r="EX16" i="2" s="1"/>
  <c r="E91" i="6"/>
  <c r="F91" i="6"/>
  <c r="E92" i="6"/>
  <c r="F92" i="6"/>
  <c r="E93" i="6"/>
  <c r="E94" i="6"/>
  <c r="E95" i="6"/>
  <c r="C96" i="6"/>
  <c r="D96" i="6"/>
  <c r="FA16" i="2" s="1"/>
  <c r="E97" i="6"/>
  <c r="F97" i="6"/>
  <c r="E98" i="6"/>
  <c r="F98" i="6"/>
  <c r="E99" i="6"/>
  <c r="F99" i="6"/>
  <c r="E6" i="5"/>
  <c r="F6" i="5"/>
  <c r="E8" i="5"/>
  <c r="F8" i="5"/>
  <c r="E9" i="5"/>
  <c r="F9" i="5"/>
  <c r="E10" i="5"/>
  <c r="F10" i="5"/>
  <c r="E11" i="5"/>
  <c r="F11" i="5"/>
  <c r="C12" i="5"/>
  <c r="E13" i="5"/>
  <c r="F13" i="5"/>
  <c r="C14" i="5"/>
  <c r="D14" i="5"/>
  <c r="F15" i="5"/>
  <c r="F16" i="5"/>
  <c r="C17" i="5"/>
  <c r="E18" i="5"/>
  <c r="F18" i="5"/>
  <c r="E19" i="5"/>
  <c r="F19" i="5"/>
  <c r="C20" i="5"/>
  <c r="D20" i="5"/>
  <c r="E21" i="5"/>
  <c r="F21" i="5"/>
  <c r="E22" i="5"/>
  <c r="F22" i="5"/>
  <c r="E23" i="5"/>
  <c r="F23" i="5"/>
  <c r="E24" i="5"/>
  <c r="F24" i="5"/>
  <c r="E27" i="5"/>
  <c r="F27" i="5"/>
  <c r="F29" i="5"/>
  <c r="C30" i="5"/>
  <c r="F31" i="5"/>
  <c r="C33" i="5"/>
  <c r="BK15" i="2" s="1"/>
  <c r="E34" i="5"/>
  <c r="E35" i="5"/>
  <c r="F35" i="5"/>
  <c r="C36" i="5"/>
  <c r="BQ15" i="2" s="1"/>
  <c r="D36" i="5"/>
  <c r="BR15" i="2" s="1"/>
  <c r="E37" i="5"/>
  <c r="F37" i="5"/>
  <c r="C38" i="5"/>
  <c r="BW15" i="2" s="1"/>
  <c r="D38" i="5"/>
  <c r="E39" i="5"/>
  <c r="F39" i="5"/>
  <c r="E40" i="5"/>
  <c r="F40" i="5"/>
  <c r="E43" i="5"/>
  <c r="F43" i="5"/>
  <c r="E44" i="5"/>
  <c r="F44" i="5"/>
  <c r="E45" i="5"/>
  <c r="F45" i="5"/>
  <c r="E47" i="5"/>
  <c r="F47" i="5"/>
  <c r="E50" i="5"/>
  <c r="F50" i="5"/>
  <c r="F51" i="5"/>
  <c r="E52" i="5"/>
  <c r="F52" i="5"/>
  <c r="C58" i="5"/>
  <c r="D58" i="5"/>
  <c r="E60" i="5"/>
  <c r="F60" i="5"/>
  <c r="F61" i="5"/>
  <c r="F62" i="5"/>
  <c r="F63" i="5"/>
  <c r="E64" i="5"/>
  <c r="F64" i="5"/>
  <c r="E65" i="5"/>
  <c r="F65" i="5"/>
  <c r="E67" i="5"/>
  <c r="F67" i="5"/>
  <c r="F68" i="5"/>
  <c r="E69" i="5"/>
  <c r="F69" i="5"/>
  <c r="E70" i="5"/>
  <c r="F70" i="5"/>
  <c r="E71" i="5"/>
  <c r="F71" i="5"/>
  <c r="D74" i="5"/>
  <c r="EL15" i="2" s="1"/>
  <c r="E75" i="5"/>
  <c r="F75" i="5"/>
  <c r="E76" i="5"/>
  <c r="F76" i="5"/>
  <c r="E77" i="5"/>
  <c r="E78" i="5"/>
  <c r="F78" i="5"/>
  <c r="C79" i="5"/>
  <c r="D79" i="5"/>
  <c r="EO15" i="2" s="1"/>
  <c r="E80" i="5"/>
  <c r="F80" i="5"/>
  <c r="E81" i="5"/>
  <c r="F81" i="5"/>
  <c r="E82" i="5"/>
  <c r="E83" i="5"/>
  <c r="F83" i="5"/>
  <c r="C84" i="5"/>
  <c r="EQ15" i="2" s="1"/>
  <c r="D84" i="5"/>
  <c r="E85" i="5"/>
  <c r="F85" i="5"/>
  <c r="E86" i="5"/>
  <c r="F86" i="5"/>
  <c r="C87" i="5"/>
  <c r="ET15" i="2" s="1"/>
  <c r="D87" i="5"/>
  <c r="EU15" i="2" s="1"/>
  <c r="E88" i="5"/>
  <c r="F88" i="5"/>
  <c r="E89" i="5"/>
  <c r="F89" i="5"/>
  <c r="E90" i="5"/>
  <c r="F90" i="5"/>
  <c r="E91" i="5"/>
  <c r="F91" i="5"/>
  <c r="C92" i="5"/>
  <c r="EW15" i="2" s="1"/>
  <c r="D92" i="5"/>
  <c r="EX15" i="2" s="1"/>
  <c r="E93" i="5"/>
  <c r="F93" i="5"/>
  <c r="E94" i="5"/>
  <c r="F94" i="5"/>
  <c r="E95" i="5"/>
  <c r="E96" i="5"/>
  <c r="E97" i="5"/>
  <c r="E98" i="5"/>
  <c r="F98" i="5"/>
  <c r="E99" i="5"/>
  <c r="F99" i="5"/>
  <c r="E100" i="5"/>
  <c r="F100" i="5"/>
  <c r="E101" i="5"/>
  <c r="F101" i="5"/>
  <c r="C5" i="4"/>
  <c r="E6" i="4"/>
  <c r="F6" i="4"/>
  <c r="E8" i="4"/>
  <c r="F8" i="4"/>
  <c r="E9" i="4"/>
  <c r="F9" i="4"/>
  <c r="E10" i="4"/>
  <c r="F10" i="4"/>
  <c r="E11" i="4"/>
  <c r="F11" i="4"/>
  <c r="E13" i="4"/>
  <c r="F13" i="4"/>
  <c r="E15" i="4"/>
  <c r="F15" i="4"/>
  <c r="E16" i="4"/>
  <c r="F16" i="4"/>
  <c r="E18" i="4"/>
  <c r="F18" i="4"/>
  <c r="E19" i="4"/>
  <c r="F19" i="4"/>
  <c r="E21" i="4"/>
  <c r="F21" i="4"/>
  <c r="E22" i="4"/>
  <c r="F22" i="4"/>
  <c r="E23" i="4"/>
  <c r="F23" i="4"/>
  <c r="E24" i="4"/>
  <c r="F24" i="4"/>
  <c r="E27" i="4"/>
  <c r="F27" i="4"/>
  <c r="E28" i="4"/>
  <c r="F28" i="4"/>
  <c r="BE14" i="2"/>
  <c r="BF14" i="2"/>
  <c r="E30" i="4"/>
  <c r="F30" i="4"/>
  <c r="E32" i="4"/>
  <c r="F32" i="4"/>
  <c r="E33" i="4"/>
  <c r="F33" i="4"/>
  <c r="E34" i="4"/>
  <c r="E35" i="4"/>
  <c r="F35" i="4"/>
  <c r="E36" i="4"/>
  <c r="F36" i="4"/>
  <c r="E39" i="4"/>
  <c r="E40" i="4"/>
  <c r="F40" i="4"/>
  <c r="E41" i="4"/>
  <c r="F41" i="4"/>
  <c r="E42" i="4"/>
  <c r="F42" i="4"/>
  <c r="E43" i="4"/>
  <c r="F43" i="4"/>
  <c r="E44" i="4"/>
  <c r="F44" i="4"/>
  <c r="F45" i="4"/>
  <c r="E46" i="4"/>
  <c r="F46" i="4"/>
  <c r="E54" i="4"/>
  <c r="F54" i="4"/>
  <c r="F55" i="4"/>
  <c r="E56" i="4"/>
  <c r="F56" i="4"/>
  <c r="E57" i="4"/>
  <c r="F57" i="4"/>
  <c r="E58" i="4"/>
  <c r="F58" i="4"/>
  <c r="E59" i="4"/>
  <c r="F59" i="4"/>
  <c r="E61" i="4"/>
  <c r="F61" i="4"/>
  <c r="E63" i="4"/>
  <c r="F63" i="4"/>
  <c r="E64" i="4"/>
  <c r="F64" i="4"/>
  <c r="E65" i="4"/>
  <c r="F65" i="4"/>
  <c r="E66" i="4"/>
  <c r="F66" i="4"/>
  <c r="E70" i="4"/>
  <c r="F70" i="4"/>
  <c r="E71" i="4"/>
  <c r="F71" i="4"/>
  <c r="E72" i="4"/>
  <c r="F72" i="4"/>
  <c r="E74" i="4"/>
  <c r="F74" i="4"/>
  <c r="E75" i="4"/>
  <c r="F75" i="4"/>
  <c r="E76" i="4"/>
  <c r="F76" i="4"/>
  <c r="E78" i="4"/>
  <c r="F78" i="4"/>
  <c r="E79" i="4"/>
  <c r="F79" i="4"/>
  <c r="E80" i="4"/>
  <c r="F80" i="4"/>
  <c r="E81" i="4"/>
  <c r="F81" i="4"/>
  <c r="E82" i="4"/>
  <c r="F82" i="4"/>
  <c r="F83" i="4"/>
  <c r="F85" i="4"/>
  <c r="E86" i="4"/>
  <c r="F86" i="4"/>
  <c r="E87" i="4"/>
  <c r="E88" i="4"/>
  <c r="E89" i="4"/>
  <c r="D90" i="4"/>
  <c r="E90" i="4" s="1"/>
  <c r="E91" i="4"/>
  <c r="F91" i="4"/>
  <c r="E92" i="4"/>
  <c r="F92" i="4"/>
  <c r="E93" i="4"/>
  <c r="F93" i="4"/>
  <c r="F11" i="1"/>
  <c r="C11" i="1" s="1"/>
  <c r="F12" i="1"/>
  <c r="C12" i="1" s="1"/>
  <c r="F13" i="1"/>
  <c r="C13" i="1" s="1"/>
  <c r="F16" i="1"/>
  <c r="C16" i="1" s="1"/>
  <c r="F17" i="1"/>
  <c r="C17" i="1" s="1"/>
  <c r="G17" i="1"/>
  <c r="D17" i="1" s="1"/>
  <c r="F18" i="1"/>
  <c r="C18" i="1" s="1"/>
  <c r="F36" i="1"/>
  <c r="C36" i="1" s="1"/>
  <c r="F41" i="1"/>
  <c r="C41" i="1" s="1"/>
  <c r="F42" i="1"/>
  <c r="C42" i="1" s="1"/>
  <c r="G42" i="1"/>
  <c r="D42" i="1" s="1"/>
  <c r="R14" i="2"/>
  <c r="S14" i="2"/>
  <c r="U14" i="2"/>
  <c r="V14" i="2"/>
  <c r="X14" i="2"/>
  <c r="Y14" i="2"/>
  <c r="AA14" i="2"/>
  <c r="AB14" i="2"/>
  <c r="AD14" i="2"/>
  <c r="AG14" i="2"/>
  <c r="AH14" i="2"/>
  <c r="AJ14" i="2"/>
  <c r="AM14" i="2"/>
  <c r="AN14" i="2"/>
  <c r="AR14" i="2"/>
  <c r="AU14" i="2"/>
  <c r="AZ14" i="2"/>
  <c r="BD14" i="2"/>
  <c r="BH14" i="2"/>
  <c r="BI14" i="2"/>
  <c r="BI31" i="2" s="1"/>
  <c r="BP14" i="2"/>
  <c r="CB14" i="2"/>
  <c r="CB31" i="2" s="1"/>
  <c r="CB32" i="2" s="1"/>
  <c r="CB33" i="2" s="1"/>
  <c r="CE14" i="2"/>
  <c r="CE31" i="2" s="1"/>
  <c r="CI14" i="2"/>
  <c r="CL14" i="2"/>
  <c r="CM14" i="2"/>
  <c r="CP14" i="2"/>
  <c r="CR14" i="2"/>
  <c r="DF14" i="2"/>
  <c r="DS14" i="2"/>
  <c r="DY14" i="2"/>
  <c r="DZ14" i="2"/>
  <c r="EB14" i="2"/>
  <c r="EC14" i="2"/>
  <c r="EE14" i="2"/>
  <c r="EF14" i="2"/>
  <c r="ET14" i="2"/>
  <c r="EU14" i="2"/>
  <c r="EZ14" i="2"/>
  <c r="L15" i="2"/>
  <c r="R15" i="2"/>
  <c r="S15" i="2"/>
  <c r="U15" i="2"/>
  <c r="V15" i="2"/>
  <c r="X15" i="2"/>
  <c r="Y15" i="2"/>
  <c r="AA15" i="2"/>
  <c r="AB15" i="2"/>
  <c r="AD15" i="2"/>
  <c r="AG15" i="2"/>
  <c r="AH15" i="2"/>
  <c r="AJ15" i="2"/>
  <c r="AK15" i="2"/>
  <c r="AM15" i="2"/>
  <c r="AN15" i="2"/>
  <c r="AR15" i="2"/>
  <c r="AS15" i="2"/>
  <c r="AT15" i="2"/>
  <c r="AZ15" i="2"/>
  <c r="BD15" i="2"/>
  <c r="BP15" i="2"/>
  <c r="CB15" i="2"/>
  <c r="CE15" i="2"/>
  <c r="CI15" i="2"/>
  <c r="CJ15" i="2"/>
  <c r="CL15" i="2"/>
  <c r="CM15" i="2"/>
  <c r="CP15" i="2"/>
  <c r="CR15" i="2"/>
  <c r="CS15" i="2"/>
  <c r="CU15" i="2"/>
  <c r="CV15" i="2"/>
  <c r="DF15" i="2"/>
  <c r="DS15" i="2"/>
  <c r="DV15" i="2"/>
  <c r="DW15" i="2"/>
  <c r="DY15" i="2"/>
  <c r="DZ15" i="2"/>
  <c r="EB15" i="2"/>
  <c r="EC15" i="2"/>
  <c r="EE15" i="2"/>
  <c r="EF15" i="2"/>
  <c r="EI15" i="2"/>
  <c r="EZ15" i="2"/>
  <c r="FA15" i="2"/>
  <c r="L16" i="2"/>
  <c r="R16" i="2"/>
  <c r="S16" i="2"/>
  <c r="U16" i="2"/>
  <c r="V16" i="2"/>
  <c r="X16" i="2"/>
  <c r="Y16" i="2"/>
  <c r="AA16" i="2"/>
  <c r="AB16" i="2"/>
  <c r="AD16" i="2"/>
  <c r="AG16" i="2"/>
  <c r="AH16" i="2"/>
  <c r="AJ16" i="2"/>
  <c r="AK16" i="2"/>
  <c r="AM16" i="2"/>
  <c r="AN16" i="2"/>
  <c r="AR16" i="2"/>
  <c r="AS16" i="2"/>
  <c r="AT16" i="2"/>
  <c r="AV16" i="2"/>
  <c r="AZ16" i="2"/>
  <c r="BD16" i="2"/>
  <c r="BK16" i="2"/>
  <c r="BP16" i="2"/>
  <c r="CB16" i="2"/>
  <c r="CE16" i="2"/>
  <c r="CI16" i="2"/>
  <c r="CJ16" i="2"/>
  <c r="CL16" i="2"/>
  <c r="CM16" i="2"/>
  <c r="CP16" i="2"/>
  <c r="CR16" i="2"/>
  <c r="CS16" i="2"/>
  <c r="CZ16" i="2"/>
  <c r="DF16" i="2"/>
  <c r="DS16" i="2"/>
  <c r="DV16" i="2"/>
  <c r="DY16" i="2"/>
  <c r="DZ16" i="2"/>
  <c r="EC16" i="2"/>
  <c r="EE16" i="2"/>
  <c r="EF16" i="2"/>
  <c r="L17" i="2"/>
  <c r="R17" i="2"/>
  <c r="S17" i="2"/>
  <c r="U17" i="2"/>
  <c r="V17" i="2"/>
  <c r="X17" i="2"/>
  <c r="Y17" i="2"/>
  <c r="AA17" i="2"/>
  <c r="AB17" i="2"/>
  <c r="AD17" i="2"/>
  <c r="AG17" i="2"/>
  <c r="AH17" i="2"/>
  <c r="AJ17" i="2"/>
  <c r="AK17" i="2"/>
  <c r="AM17" i="2"/>
  <c r="AN17" i="2"/>
  <c r="AR17" i="2"/>
  <c r="AU17" i="2"/>
  <c r="AZ17" i="2"/>
  <c r="BD17" i="2"/>
  <c r="BK17" i="2"/>
  <c r="BL17" i="2"/>
  <c r="BP17" i="2"/>
  <c r="CB17" i="2"/>
  <c r="CE17" i="2"/>
  <c r="CP17" i="2"/>
  <c r="CR17" i="2"/>
  <c r="CS17" i="2"/>
  <c r="CZ17" i="2"/>
  <c r="DF17" i="2"/>
  <c r="DS17" i="2"/>
  <c r="DY17" i="2"/>
  <c r="DZ17" i="2"/>
  <c r="EB17" i="2"/>
  <c r="EC17" i="2"/>
  <c r="EE17" i="2"/>
  <c r="EF17" i="2"/>
  <c r="L18" i="2"/>
  <c r="R18" i="2"/>
  <c r="S18" i="2"/>
  <c r="U18" i="2"/>
  <c r="V18" i="2"/>
  <c r="X18" i="2"/>
  <c r="Y18" i="2"/>
  <c r="AA18" i="2"/>
  <c r="AB18" i="2"/>
  <c r="AD18" i="2"/>
  <c r="AG18" i="2"/>
  <c r="AH18" i="2"/>
  <c r="AJ18" i="2"/>
  <c r="AK18" i="2"/>
  <c r="AM18" i="2"/>
  <c r="AN18" i="2"/>
  <c r="AP18" i="2"/>
  <c r="AQ18" i="2"/>
  <c r="AU18" i="2"/>
  <c r="BD18" i="2"/>
  <c r="BK18" i="2"/>
  <c r="CB18" i="2"/>
  <c r="CE18" i="2"/>
  <c r="CI18" i="2"/>
  <c r="CJ18" i="2"/>
  <c r="CL18" i="2"/>
  <c r="CM18" i="2"/>
  <c r="CP18" i="2"/>
  <c r="CS18" i="2"/>
  <c r="CU18" i="2"/>
  <c r="CV18" i="2"/>
  <c r="DF18" i="2"/>
  <c r="DS18" i="2"/>
  <c r="DV18" i="2"/>
  <c r="DY18" i="2"/>
  <c r="DZ18" i="2"/>
  <c r="EB18" i="2"/>
  <c r="EC18" i="2"/>
  <c r="L19" i="2"/>
  <c r="R19" i="2"/>
  <c r="S19" i="2"/>
  <c r="U19" i="2"/>
  <c r="V19" i="2"/>
  <c r="X19" i="2"/>
  <c r="Y19" i="2"/>
  <c r="AA19" i="2"/>
  <c r="AB19" i="2"/>
  <c r="AD19" i="2"/>
  <c r="AG19" i="2"/>
  <c r="AH19" i="2"/>
  <c r="AJ19" i="2"/>
  <c r="AK19" i="2"/>
  <c r="AM19" i="2"/>
  <c r="AN19" i="2"/>
  <c r="AR19" i="2"/>
  <c r="AS19" i="2"/>
  <c r="BD19" i="2"/>
  <c r="BP19" i="2"/>
  <c r="CB19" i="2"/>
  <c r="CE19" i="2"/>
  <c r="CP19" i="2"/>
  <c r="CR19" i="2"/>
  <c r="CS19" i="2"/>
  <c r="CV19" i="2"/>
  <c r="CW19" i="2" s="1"/>
  <c r="DF19" i="2"/>
  <c r="DS19" i="2"/>
  <c r="DV19" i="2"/>
  <c r="DW19" i="2"/>
  <c r="DY19" i="2"/>
  <c r="DZ19" i="2"/>
  <c r="EB19" i="2"/>
  <c r="EC19" i="2"/>
  <c r="EE19" i="2"/>
  <c r="EF19" i="2"/>
  <c r="L20" i="2"/>
  <c r="R20" i="2"/>
  <c r="S20" i="2"/>
  <c r="U20" i="2"/>
  <c r="V20" i="2"/>
  <c r="X20" i="2"/>
  <c r="Y20" i="2"/>
  <c r="AA20" i="2"/>
  <c r="AB20" i="2"/>
  <c r="AD20" i="2"/>
  <c r="AG20" i="2"/>
  <c r="AH20" i="2"/>
  <c r="AJ20" i="2"/>
  <c r="AK20" i="2"/>
  <c r="AM20" i="2"/>
  <c r="AN20" i="2"/>
  <c r="AR20" i="2"/>
  <c r="AU20" i="2"/>
  <c r="AZ20" i="2"/>
  <c r="BD20" i="2"/>
  <c r="BK20" i="2"/>
  <c r="BP20" i="2"/>
  <c r="CB20" i="2"/>
  <c r="CE20" i="2"/>
  <c r="CJ20" i="2"/>
  <c r="CL20" i="2"/>
  <c r="CM20" i="2"/>
  <c r="CP20" i="2"/>
  <c r="CR20" i="2"/>
  <c r="CS20" i="2"/>
  <c r="CV20" i="2"/>
  <c r="CX20" i="2"/>
  <c r="CY20" i="2"/>
  <c r="DF20" i="2"/>
  <c r="DS20" i="2"/>
  <c r="DV20" i="2"/>
  <c r="DY20" i="2"/>
  <c r="DZ20" i="2"/>
  <c r="EB20" i="2"/>
  <c r="EC20" i="2"/>
  <c r="EE20" i="2"/>
  <c r="EF20" i="2"/>
  <c r="L21" i="2"/>
  <c r="S21" i="2"/>
  <c r="V21" i="2"/>
  <c r="Y21" i="2"/>
  <c r="AB21" i="2"/>
  <c r="AH21" i="2"/>
  <c r="AK21" i="2"/>
  <c r="AN21" i="2"/>
  <c r="AZ21" i="2"/>
  <c r="R21" i="2"/>
  <c r="U21" i="2"/>
  <c r="X21" i="2"/>
  <c r="AA21" i="2"/>
  <c r="AD21" i="2"/>
  <c r="AG21" i="2"/>
  <c r="AJ21" i="2"/>
  <c r="AM21" i="2"/>
  <c r="AP21" i="2"/>
  <c r="AU21" i="2"/>
  <c r="BD21" i="2"/>
  <c r="BP21" i="2"/>
  <c r="CB21" i="2"/>
  <c r="CE21" i="2"/>
  <c r="CI21" i="2"/>
  <c r="CJ21" i="2"/>
  <c r="CP21" i="2"/>
  <c r="CS21" i="2"/>
  <c r="CL21" i="2"/>
  <c r="CM21" i="2"/>
  <c r="CR21" i="2"/>
  <c r="DF21" i="2"/>
  <c r="DS21" i="2"/>
  <c r="DV21" i="2"/>
  <c r="DY21" i="2"/>
  <c r="DZ21" i="2"/>
  <c r="EB21" i="2"/>
  <c r="EC21" i="2"/>
  <c r="EE21" i="2"/>
  <c r="EF21" i="2"/>
  <c r="L22" i="2"/>
  <c r="S22" i="2"/>
  <c r="V22" i="2"/>
  <c r="Y22" i="2"/>
  <c r="AB22" i="2"/>
  <c r="AH22" i="2"/>
  <c r="AK22" i="2"/>
  <c r="AN22" i="2"/>
  <c r="AZ22" i="2"/>
  <c r="R22" i="2"/>
  <c r="U22" i="2"/>
  <c r="X22" i="2"/>
  <c r="AA22" i="2"/>
  <c r="AD22" i="2"/>
  <c r="AG22" i="2"/>
  <c r="AJ22" i="2"/>
  <c r="AM22" i="2"/>
  <c r="BD22" i="2"/>
  <c r="BP22" i="2"/>
  <c r="CB22" i="2"/>
  <c r="CE22" i="2"/>
  <c r="CI22" i="2"/>
  <c r="CJ22" i="2"/>
  <c r="CS22" i="2"/>
  <c r="CL22" i="2"/>
  <c r="CM22" i="2"/>
  <c r="CP22" i="2"/>
  <c r="CR22" i="2"/>
  <c r="DF22" i="2"/>
  <c r="DV22" i="2"/>
  <c r="DY22" i="2"/>
  <c r="DZ22" i="2"/>
  <c r="EB22" i="2"/>
  <c r="EC22" i="2"/>
  <c r="EE22" i="2"/>
  <c r="EZ22" i="2"/>
  <c r="FA22" i="2"/>
  <c r="S23" i="2"/>
  <c r="V23" i="2"/>
  <c r="Y23" i="2"/>
  <c r="AB23" i="2"/>
  <c r="AH23" i="2"/>
  <c r="AK23" i="2"/>
  <c r="AN23" i="2"/>
  <c r="CJ23" i="2"/>
  <c r="CP23" i="2"/>
  <c r="CS23" i="2"/>
  <c r="U23" i="2"/>
  <c r="X23" i="2"/>
  <c r="AA23" i="2"/>
  <c r="AD23" i="2"/>
  <c r="AG23" i="2"/>
  <c r="AM23" i="2"/>
  <c r="AR23" i="2"/>
  <c r="AU23" i="2"/>
  <c r="AZ23" i="2"/>
  <c r="BD23" i="2"/>
  <c r="BK23" i="2"/>
  <c r="BL23" i="2"/>
  <c r="BP23" i="2"/>
  <c r="CB23" i="2"/>
  <c r="CE23" i="2"/>
  <c r="CI23" i="2"/>
  <c r="CR23" i="2"/>
  <c r="CZ23" i="2"/>
  <c r="DF23" i="2"/>
  <c r="DS23" i="2"/>
  <c r="DV23" i="2"/>
  <c r="DW23" i="2"/>
  <c r="DY23" i="2"/>
  <c r="DZ23" i="2"/>
  <c r="EB23" i="2"/>
  <c r="EC23" i="2"/>
  <c r="EE23" i="2"/>
  <c r="EF23" i="2"/>
  <c r="S24" i="2"/>
  <c r="V24" i="2"/>
  <c r="Y24" i="2"/>
  <c r="AB24" i="2"/>
  <c r="AH24" i="2"/>
  <c r="AK24" i="2"/>
  <c r="AN24" i="2"/>
  <c r="CJ24" i="2"/>
  <c r="CP24" i="2"/>
  <c r="CS24" i="2"/>
  <c r="R24" i="2"/>
  <c r="U24" i="2"/>
  <c r="X24" i="2"/>
  <c r="AA24" i="2"/>
  <c r="AD24" i="2"/>
  <c r="AM24" i="2"/>
  <c r="AP24" i="2"/>
  <c r="AU24" i="2"/>
  <c r="AZ24" i="2"/>
  <c r="BD24" i="2"/>
  <c r="BK24" i="2"/>
  <c r="BP24" i="2"/>
  <c r="CB24" i="2"/>
  <c r="CE24" i="2"/>
  <c r="CI24" i="2"/>
  <c r="CL24" i="2"/>
  <c r="CM24" i="2"/>
  <c r="CR24" i="2"/>
  <c r="DF24" i="2"/>
  <c r="DS24" i="2"/>
  <c r="DV24" i="2"/>
  <c r="DY24" i="2"/>
  <c r="DZ24" i="2"/>
  <c r="EB24" i="2"/>
  <c r="EC24" i="2"/>
  <c r="EE24" i="2"/>
  <c r="EF24" i="2"/>
  <c r="S25" i="2"/>
  <c r="Y25" i="2"/>
  <c r="AB25" i="2"/>
  <c r="AH25" i="2"/>
  <c r="AK25" i="2"/>
  <c r="AN25" i="2"/>
  <c r="AZ25" i="2"/>
  <c r="CJ25" i="2"/>
  <c r="CP25" i="2"/>
  <c r="CS25" i="2"/>
  <c r="L25" i="2"/>
  <c r="R25" i="2"/>
  <c r="U25" i="2"/>
  <c r="X25" i="2"/>
  <c r="AA25" i="2"/>
  <c r="AD25" i="2"/>
  <c r="AG25" i="2"/>
  <c r="AJ25" i="2"/>
  <c r="AM25" i="2"/>
  <c r="AR25" i="2"/>
  <c r="BD25" i="2"/>
  <c r="BP25" i="2"/>
  <c r="CB25" i="2"/>
  <c r="CE25" i="2"/>
  <c r="CI25" i="2"/>
  <c r="CL25" i="2"/>
  <c r="CM25" i="2"/>
  <c r="CR25" i="2"/>
  <c r="CU25" i="2"/>
  <c r="DF25" i="2"/>
  <c r="DS25" i="2"/>
  <c r="DV25" i="2"/>
  <c r="DW25" i="2"/>
  <c r="DY25" i="2"/>
  <c r="DZ25" i="2"/>
  <c r="EB25" i="2"/>
  <c r="EC25" i="2"/>
  <c r="EE25" i="2"/>
  <c r="EF25" i="2"/>
  <c r="S26" i="2"/>
  <c r="V26" i="2"/>
  <c r="Y26" i="2"/>
  <c r="AB26" i="2"/>
  <c r="AH26" i="2"/>
  <c r="AK26" i="2"/>
  <c r="AN26" i="2"/>
  <c r="AZ26" i="2"/>
  <c r="CJ26" i="2"/>
  <c r="CS26" i="2"/>
  <c r="L26" i="2"/>
  <c r="R26" i="2"/>
  <c r="U26" i="2"/>
  <c r="X26" i="2"/>
  <c r="AA26" i="2"/>
  <c r="AD26" i="2"/>
  <c r="AG26" i="2"/>
  <c r="AJ26" i="2"/>
  <c r="AM26" i="2"/>
  <c r="AR26" i="2"/>
  <c r="BD26" i="2"/>
  <c r="BK26" i="2"/>
  <c r="BP26" i="2"/>
  <c r="CB26" i="2"/>
  <c r="CE26" i="2"/>
  <c r="CL26" i="2"/>
  <c r="CM26" i="2"/>
  <c r="CP26" i="2"/>
  <c r="CR26" i="2"/>
  <c r="DF26" i="2"/>
  <c r="DS26" i="2"/>
  <c r="DV26" i="2"/>
  <c r="DW26" i="2"/>
  <c r="DY26" i="2"/>
  <c r="DZ26" i="2"/>
  <c r="EB26" i="2"/>
  <c r="EC26" i="2"/>
  <c r="EE26" i="2"/>
  <c r="EF26" i="2"/>
  <c r="S27" i="2"/>
  <c r="V27" i="2"/>
  <c r="Y27" i="2"/>
  <c r="AB27" i="2"/>
  <c r="AH27" i="2"/>
  <c r="AK27" i="2"/>
  <c r="AN27" i="2"/>
  <c r="AZ27" i="2"/>
  <c r="CJ27" i="2"/>
  <c r="CS27" i="2"/>
  <c r="L27" i="2"/>
  <c r="R27" i="2"/>
  <c r="U27" i="2"/>
  <c r="X27" i="2"/>
  <c r="AA27" i="2"/>
  <c r="AD27" i="2"/>
  <c r="AG27" i="2"/>
  <c r="AJ27" i="2"/>
  <c r="AM27" i="2"/>
  <c r="AR27" i="2"/>
  <c r="BD27" i="2"/>
  <c r="BP27" i="2"/>
  <c r="CB27" i="2"/>
  <c r="CE27" i="2"/>
  <c r="CI27" i="2"/>
  <c r="CP27" i="2"/>
  <c r="CR27" i="2"/>
  <c r="DF27" i="2"/>
  <c r="DS27" i="2"/>
  <c r="DV27" i="2"/>
  <c r="DW27" i="2"/>
  <c r="DY27" i="2"/>
  <c r="DZ27" i="2"/>
  <c r="EB27" i="2"/>
  <c r="EC27" i="2"/>
  <c r="EE27" i="2"/>
  <c r="EF27" i="2"/>
  <c r="S28" i="2"/>
  <c r="V28" i="2"/>
  <c r="Y28" i="2"/>
  <c r="AB28" i="2"/>
  <c r="AK28" i="2"/>
  <c r="AN28" i="2"/>
  <c r="CJ28" i="2"/>
  <c r="CS28" i="2"/>
  <c r="L28" i="2"/>
  <c r="R28" i="2"/>
  <c r="U28" i="2"/>
  <c r="X28" i="2"/>
  <c r="AA28" i="2"/>
  <c r="AD28" i="2"/>
  <c r="AG28" i="2"/>
  <c r="AJ28" i="2"/>
  <c r="AM28" i="2"/>
  <c r="AR28" i="2"/>
  <c r="AU28" i="2"/>
  <c r="BD28" i="2"/>
  <c r="BP28" i="2"/>
  <c r="CB28" i="2"/>
  <c r="CE28" i="2"/>
  <c r="CI28" i="2"/>
  <c r="CL28" i="2"/>
  <c r="CM28" i="2"/>
  <c r="CP28" i="2"/>
  <c r="CR28" i="2"/>
  <c r="DF28" i="2"/>
  <c r="DH28" i="2"/>
  <c r="DI28" i="2" s="1"/>
  <c r="DS28" i="2"/>
  <c r="DV28" i="2"/>
  <c r="DW28" i="2"/>
  <c r="DY28" i="2"/>
  <c r="DZ28" i="2"/>
  <c r="EB28" i="2"/>
  <c r="EC28" i="2"/>
  <c r="EE28" i="2"/>
  <c r="S29" i="2"/>
  <c r="V29" i="2"/>
  <c r="Y29" i="2"/>
  <c r="AB29" i="2"/>
  <c r="AH29" i="2"/>
  <c r="AK29" i="2"/>
  <c r="AN29" i="2"/>
  <c r="CJ29" i="2"/>
  <c r="CP29" i="2"/>
  <c r="CS29" i="2"/>
  <c r="R29" i="2"/>
  <c r="U29" i="2"/>
  <c r="X29" i="2"/>
  <c r="AA29" i="2"/>
  <c r="AD29" i="2"/>
  <c r="AG29" i="2"/>
  <c r="AJ29" i="2"/>
  <c r="AM29" i="2"/>
  <c r="AR29" i="2"/>
  <c r="BD29" i="2"/>
  <c r="BP29" i="2"/>
  <c r="CB29" i="2"/>
  <c r="CE29" i="2"/>
  <c r="CI29" i="2"/>
  <c r="CL29" i="2"/>
  <c r="CM29" i="2"/>
  <c r="CR29" i="2"/>
  <c r="CZ29" i="2"/>
  <c r="DF29" i="2"/>
  <c r="DS29" i="2"/>
  <c r="DV29" i="2"/>
  <c r="DY29" i="2"/>
  <c r="DZ29" i="2"/>
  <c r="EB29" i="2"/>
  <c r="EC29" i="2"/>
  <c r="EQ29" i="2"/>
  <c r="BB31" i="2"/>
  <c r="BB32" i="2" s="1"/>
  <c r="BB33" i="2" s="1"/>
  <c r="BC31" i="2"/>
  <c r="BZ31" i="2"/>
  <c r="BZ32" i="2" s="1"/>
  <c r="BZ33" i="2" s="1"/>
  <c r="CC31" i="2"/>
  <c r="CC32" i="2" s="1"/>
  <c r="CC33" i="2" s="1"/>
  <c r="CD31" i="2"/>
  <c r="DA31" i="2"/>
  <c r="DA32" i="2" s="1"/>
  <c r="DA33" i="2" s="1"/>
  <c r="DD31" i="2"/>
  <c r="DD32" i="2" s="1"/>
  <c r="DD33" i="2" s="1"/>
  <c r="DE31" i="2"/>
  <c r="DE32" i="2" s="1"/>
  <c r="DE33" i="2" s="1"/>
  <c r="DG31" i="2"/>
  <c r="DJ31" i="2"/>
  <c r="DJ32" i="2" s="1"/>
  <c r="DJ33" i="2" s="1"/>
  <c r="E24" i="1"/>
  <c r="F24" i="1"/>
  <c r="F28" i="1"/>
  <c r="C28" i="1" s="1"/>
  <c r="G28" i="1"/>
  <c r="E34" i="1"/>
  <c r="E35" i="1"/>
  <c r="E38" i="1"/>
  <c r="AU22" i="2"/>
  <c r="AU29" i="2"/>
  <c r="AU27" i="2"/>
  <c r="AU26" i="2"/>
  <c r="F40" i="6"/>
  <c r="BY14" i="2"/>
  <c r="G39" i="1"/>
  <c r="E73" i="11"/>
  <c r="E58" i="12"/>
  <c r="F58" i="12"/>
  <c r="C56" i="12"/>
  <c r="DS22" i="2"/>
  <c r="F78" i="14"/>
  <c r="C77" i="14"/>
  <c r="EN24" i="2" s="1"/>
  <c r="E78" i="14"/>
  <c r="F80" i="15"/>
  <c r="C77" i="15"/>
  <c r="EN25" i="2" s="1"/>
  <c r="E80" i="15"/>
  <c r="F74" i="18"/>
  <c r="E74" i="18"/>
  <c r="C70" i="19"/>
  <c r="F73" i="19"/>
  <c r="E73" i="19"/>
  <c r="E42" i="6"/>
  <c r="E76" i="9"/>
  <c r="F75" i="11"/>
  <c r="E77" i="12"/>
  <c r="F75" i="17"/>
  <c r="C74" i="17"/>
  <c r="EK27" i="2" s="1"/>
  <c r="E75" i="17"/>
  <c r="E80" i="8"/>
  <c r="F80" i="8"/>
  <c r="E74" i="8"/>
  <c r="CI20" i="2"/>
  <c r="C72" i="12"/>
  <c r="C39" i="19"/>
  <c r="F40" i="19"/>
  <c r="C31" i="1" l="1"/>
  <c r="C25" i="19"/>
  <c r="BF29" i="2"/>
  <c r="BG29" i="2" s="1"/>
  <c r="D25" i="19"/>
  <c r="BM28" i="2"/>
  <c r="D25" i="18"/>
  <c r="P18" i="2"/>
  <c r="P29" i="2"/>
  <c r="P27" i="2"/>
  <c r="O26" i="2"/>
  <c r="O21" i="2"/>
  <c r="P21" i="2"/>
  <c r="P17" i="2"/>
  <c r="P14" i="2"/>
  <c r="O23" i="2"/>
  <c r="P28" i="2"/>
  <c r="P26" i="2"/>
  <c r="P24" i="2"/>
  <c r="O16" i="2"/>
  <c r="O29" i="2"/>
  <c r="O28" i="2"/>
  <c r="P25" i="2"/>
  <c r="O20" i="2"/>
  <c r="O19" i="2"/>
  <c r="P16" i="2"/>
  <c r="O18" i="2"/>
  <c r="P15" i="2"/>
  <c r="O25" i="2"/>
  <c r="O27" i="2"/>
  <c r="O24" i="2"/>
  <c r="P23" i="2"/>
  <c r="O22" i="2"/>
  <c r="P22" i="2"/>
  <c r="P20" i="2"/>
  <c r="P19" i="2"/>
  <c r="O17" i="2"/>
  <c r="O15" i="2"/>
  <c r="O14" i="2"/>
  <c r="BF23" i="2"/>
  <c r="BG23" i="2" s="1"/>
  <c r="D23" i="13"/>
  <c r="BV22" i="2"/>
  <c r="D25" i="17"/>
  <c r="D95" i="13"/>
  <c r="I28" i="2"/>
  <c r="I29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D25" i="16"/>
  <c r="CW29" i="2"/>
  <c r="CG23" i="2"/>
  <c r="CF14" i="2"/>
  <c r="AW31" i="2"/>
  <c r="CW20" i="2"/>
  <c r="E20" i="14"/>
  <c r="CW23" i="2"/>
  <c r="CW21" i="2"/>
  <c r="CG17" i="2"/>
  <c r="CW28" i="2"/>
  <c r="CW27" i="2"/>
  <c r="CW26" i="2"/>
  <c r="CW25" i="2"/>
  <c r="CW24" i="2"/>
  <c r="CW22" i="2"/>
  <c r="CW18" i="2"/>
  <c r="CW16" i="2"/>
  <c r="CW15" i="2"/>
  <c r="BV29" i="2"/>
  <c r="F28" i="2"/>
  <c r="F27" i="2"/>
  <c r="F23" i="2"/>
  <c r="F22" i="2"/>
  <c r="F20" i="2"/>
  <c r="BV19" i="2"/>
  <c r="BV17" i="2"/>
  <c r="F16" i="2"/>
  <c r="C25" i="12"/>
  <c r="AY19" i="2"/>
  <c r="F19" i="2" s="1"/>
  <c r="C25" i="9"/>
  <c r="C25" i="6"/>
  <c r="C25" i="16"/>
  <c r="D98" i="8"/>
  <c r="EN27" i="2"/>
  <c r="EP27" i="2" s="1"/>
  <c r="BV25" i="2"/>
  <c r="BV18" i="2"/>
  <c r="BV28" i="2"/>
  <c r="CF16" i="2"/>
  <c r="BG16" i="2"/>
  <c r="C94" i="4"/>
  <c r="M31" i="2"/>
  <c r="M33" i="2" s="1"/>
  <c r="E64" i="11"/>
  <c r="D96" i="19"/>
  <c r="E14" i="12"/>
  <c r="EW29" i="2"/>
  <c r="EY29" i="2" s="1"/>
  <c r="F17" i="14"/>
  <c r="C98" i="12"/>
  <c r="G98" i="12" s="1"/>
  <c r="D98" i="12"/>
  <c r="H98" i="12" s="1"/>
  <c r="D25" i="12"/>
  <c r="AB31" i="2"/>
  <c r="AB33" i="2" s="1"/>
  <c r="EW14" i="2"/>
  <c r="EY14" i="2" s="1"/>
  <c r="D25" i="11"/>
  <c r="F40" i="11"/>
  <c r="C25" i="11"/>
  <c r="D94" i="4"/>
  <c r="N27" i="2"/>
  <c r="F60" i="4"/>
  <c r="H9" i="1"/>
  <c r="E17" i="19"/>
  <c r="F81" i="14"/>
  <c r="E40" i="9"/>
  <c r="EH15" i="2"/>
  <c r="EJ15" i="2" s="1"/>
  <c r="E5" i="12"/>
  <c r="F55" i="16"/>
  <c r="E40" i="8"/>
  <c r="CQ27" i="2"/>
  <c r="E69" i="13"/>
  <c r="F7" i="7"/>
  <c r="E66" i="15"/>
  <c r="F5" i="17"/>
  <c r="AI24" i="2"/>
  <c r="CQ28" i="2"/>
  <c r="F32" i="18"/>
  <c r="F12" i="12"/>
  <c r="E7" i="12"/>
  <c r="BA21" i="2"/>
  <c r="F5" i="16"/>
  <c r="E26" i="5"/>
  <c r="E5" i="14"/>
  <c r="DX29" i="2"/>
  <c r="N26" i="2"/>
  <c r="E5" i="13"/>
  <c r="BA22" i="2"/>
  <c r="F82" i="12"/>
  <c r="E5" i="8"/>
  <c r="F26" i="5"/>
  <c r="F26" i="12"/>
  <c r="AX22" i="2"/>
  <c r="F7" i="12"/>
  <c r="E38" i="5"/>
  <c r="C25" i="5"/>
  <c r="CN23" i="2"/>
  <c r="AF20" i="2"/>
  <c r="E53" i="13"/>
  <c r="T22" i="2"/>
  <c r="F14" i="11"/>
  <c r="DU18" i="2"/>
  <c r="N17" i="2"/>
  <c r="AL14" i="2"/>
  <c r="C36" i="16"/>
  <c r="BW26" i="2" s="1"/>
  <c r="F26" i="2" s="1"/>
  <c r="E17" i="16"/>
  <c r="EJ23" i="2"/>
  <c r="E17" i="13"/>
  <c r="E26" i="12"/>
  <c r="CQ22" i="2"/>
  <c r="F5" i="12"/>
  <c r="CN19" i="2"/>
  <c r="AO18" i="2"/>
  <c r="AI18" i="2"/>
  <c r="AO17" i="2"/>
  <c r="E26" i="6"/>
  <c r="F79" i="6"/>
  <c r="F20" i="6"/>
  <c r="EA29" i="2"/>
  <c r="AL28" i="2"/>
  <c r="E26" i="17"/>
  <c r="E26" i="14"/>
  <c r="E66" i="14"/>
  <c r="CT23" i="2"/>
  <c r="EG23" i="2"/>
  <c r="AC21" i="2"/>
  <c r="E37" i="11"/>
  <c r="EG21" i="2"/>
  <c r="T21" i="2"/>
  <c r="F14" i="9"/>
  <c r="E91" i="9"/>
  <c r="CT18" i="2"/>
  <c r="F56" i="8"/>
  <c r="E7" i="8"/>
  <c r="AC18" i="2"/>
  <c r="F66" i="6"/>
  <c r="E36" i="5"/>
  <c r="E33" i="5"/>
  <c r="E68" i="5"/>
  <c r="EA15" i="2"/>
  <c r="CT15" i="2"/>
  <c r="F58" i="5"/>
  <c r="C4" i="5"/>
  <c r="BT15" i="2"/>
  <c r="F15" i="2" s="1"/>
  <c r="F36" i="5"/>
  <c r="F30" i="5"/>
  <c r="BA14" i="2"/>
  <c r="F34" i="4"/>
  <c r="F17" i="4"/>
  <c r="F5" i="4"/>
  <c r="F43" i="1"/>
  <c r="H43" i="1" s="1"/>
  <c r="F26" i="19"/>
  <c r="E17" i="17"/>
  <c r="CN27" i="2"/>
  <c r="EG25" i="2"/>
  <c r="BA25" i="2"/>
  <c r="CN25" i="2"/>
  <c r="AF25" i="2"/>
  <c r="CK25" i="2"/>
  <c r="F37" i="14"/>
  <c r="F35" i="14" s="1"/>
  <c r="F34" i="14" s="1"/>
  <c r="F61" i="13"/>
  <c r="W22" i="2"/>
  <c r="E94" i="11"/>
  <c r="F40" i="9"/>
  <c r="E20" i="9"/>
  <c r="F36" i="9"/>
  <c r="F86" i="9"/>
  <c r="F7" i="8"/>
  <c r="EY18" i="2"/>
  <c r="F14" i="8"/>
  <c r="F80" i="7"/>
  <c r="E39" i="6"/>
  <c r="E36" i="6"/>
  <c r="CK15" i="2"/>
  <c r="AL15" i="2"/>
  <c r="AC15" i="2"/>
  <c r="EV15" i="2"/>
  <c r="E84" i="4"/>
  <c r="E73" i="4"/>
  <c r="D4" i="4"/>
  <c r="D37" i="4" s="1"/>
  <c r="G33" i="1"/>
  <c r="D33" i="1" s="1"/>
  <c r="F7" i="19"/>
  <c r="BG27" i="2"/>
  <c r="F31" i="16"/>
  <c r="E29" i="16"/>
  <c r="F31" i="15"/>
  <c r="F29" i="15"/>
  <c r="E20" i="15"/>
  <c r="AO24" i="2"/>
  <c r="CQ23" i="2"/>
  <c r="E24" i="13"/>
  <c r="CN22" i="2"/>
  <c r="F94" i="11"/>
  <c r="F37" i="11"/>
  <c r="E7" i="11"/>
  <c r="DP20" i="2"/>
  <c r="CZ20" i="2"/>
  <c r="E26" i="10"/>
  <c r="F20" i="10"/>
  <c r="E12" i="10"/>
  <c r="BM19" i="2"/>
  <c r="CF18" i="2"/>
  <c r="E14" i="8"/>
  <c r="Z18" i="2"/>
  <c r="F81" i="8"/>
  <c r="F17" i="7"/>
  <c r="DP16" i="2"/>
  <c r="F39" i="6"/>
  <c r="F85" i="6"/>
  <c r="C4" i="6"/>
  <c r="DX15" i="2"/>
  <c r="BU15" i="2"/>
  <c r="F20" i="5"/>
  <c r="ED14" i="2"/>
  <c r="CK14" i="2"/>
  <c r="E7" i="19"/>
  <c r="D4" i="19"/>
  <c r="E34" i="19"/>
  <c r="AI29" i="2"/>
  <c r="DQ29" i="2"/>
  <c r="DN29" i="2" s="1"/>
  <c r="E84" i="18"/>
  <c r="F79" i="17"/>
  <c r="C25" i="17"/>
  <c r="E31" i="17"/>
  <c r="AO27" i="2"/>
  <c r="E82" i="16"/>
  <c r="AC26" i="2"/>
  <c r="C4" i="16"/>
  <c r="E26" i="16"/>
  <c r="E12" i="16"/>
  <c r="G25" i="2"/>
  <c r="E31" i="15"/>
  <c r="F20" i="15"/>
  <c r="F26" i="14"/>
  <c r="E83" i="14"/>
  <c r="DQ24" i="2"/>
  <c r="DN24" i="2" s="1"/>
  <c r="F91" i="13"/>
  <c r="DU23" i="2"/>
  <c r="F53" i="13"/>
  <c r="F85" i="13"/>
  <c r="D4" i="13"/>
  <c r="F78" i="12"/>
  <c r="EO22" i="2"/>
  <c r="EP22" i="2" s="1"/>
  <c r="E29" i="12"/>
  <c r="DU22" i="2"/>
  <c r="F29" i="12"/>
  <c r="DX22" i="2"/>
  <c r="E64" i="12"/>
  <c r="F37" i="12"/>
  <c r="E78" i="12"/>
  <c r="E12" i="12"/>
  <c r="F7" i="11"/>
  <c r="F85" i="10"/>
  <c r="E7" i="10"/>
  <c r="E67" i="10"/>
  <c r="AL20" i="2"/>
  <c r="AX20" i="2"/>
  <c r="F20" i="9"/>
  <c r="CQ19" i="2"/>
  <c r="F65" i="9"/>
  <c r="DQ19" i="2"/>
  <c r="ED19" i="2"/>
  <c r="W19" i="2"/>
  <c r="N19" i="2"/>
  <c r="E66" i="8"/>
  <c r="CK18" i="2"/>
  <c r="N18" i="2"/>
  <c r="BR31" i="2"/>
  <c r="E89" i="8"/>
  <c r="EG18" i="2"/>
  <c r="AX18" i="2"/>
  <c r="E7" i="6"/>
  <c r="E33" i="6"/>
  <c r="F12" i="6"/>
  <c r="F87" i="5"/>
  <c r="E20" i="5"/>
  <c r="DU15" i="2"/>
  <c r="E20" i="4"/>
  <c r="CQ14" i="2"/>
  <c r="AF14" i="2"/>
  <c r="E14" i="4"/>
  <c r="E7" i="4"/>
  <c r="F31" i="4"/>
  <c r="F29" i="19"/>
  <c r="E29" i="19"/>
  <c r="E12" i="19"/>
  <c r="E26" i="19"/>
  <c r="AO29" i="2"/>
  <c r="F31" i="19"/>
  <c r="E92" i="19"/>
  <c r="DU29" i="2"/>
  <c r="AC29" i="2"/>
  <c r="E17" i="18"/>
  <c r="E7" i="18"/>
  <c r="AF28" i="2"/>
  <c r="E79" i="17"/>
  <c r="E47" i="17"/>
  <c r="ED27" i="2"/>
  <c r="E36" i="17"/>
  <c r="FB27" i="2"/>
  <c r="F31" i="17"/>
  <c r="AC27" i="2"/>
  <c r="E96" i="17"/>
  <c r="F96" i="17"/>
  <c r="BY27" i="2"/>
  <c r="E87" i="16"/>
  <c r="E55" i="16"/>
  <c r="F93" i="16"/>
  <c r="EU26" i="2"/>
  <c r="EV26" i="2" s="1"/>
  <c r="BU26" i="2"/>
  <c r="BV26" i="2" s="1"/>
  <c r="EX26" i="2"/>
  <c r="EX31" i="2" s="1"/>
  <c r="T26" i="2"/>
  <c r="F26" i="16"/>
  <c r="BG26" i="2"/>
  <c r="F34" i="16"/>
  <c r="F37" i="16"/>
  <c r="F29" i="16"/>
  <c r="F12" i="16"/>
  <c r="F7" i="16"/>
  <c r="FB25" i="2"/>
  <c r="F56" i="15"/>
  <c r="E41" i="15"/>
  <c r="F94" i="15"/>
  <c r="EH25" i="2"/>
  <c r="EJ25" i="2" s="1"/>
  <c r="N25" i="2"/>
  <c r="E88" i="15"/>
  <c r="E56" i="15"/>
  <c r="ED25" i="2"/>
  <c r="EP24" i="2"/>
  <c r="E17" i="14"/>
  <c r="BW24" i="2"/>
  <c r="BY24" i="2" s="1"/>
  <c r="F64" i="14"/>
  <c r="E88" i="14"/>
  <c r="CF24" i="2"/>
  <c r="T24" i="2"/>
  <c r="F5" i="14"/>
  <c r="AX24" i="2"/>
  <c r="E63" i="13"/>
  <c r="F24" i="13"/>
  <c r="CF23" i="2"/>
  <c r="AO23" i="2"/>
  <c r="AX23" i="2"/>
  <c r="F72" i="12"/>
  <c r="F96" i="12"/>
  <c r="E96" i="12"/>
  <c r="BG22" i="2"/>
  <c r="F83" i="11"/>
  <c r="EU21" i="2"/>
  <c r="EV21" i="2" s="1"/>
  <c r="E88" i="11"/>
  <c r="AL21" i="2"/>
  <c r="AP31" i="2"/>
  <c r="AP32" i="2" s="1"/>
  <c r="AP33" i="2" s="1"/>
  <c r="N21" i="2"/>
  <c r="EY20" i="2"/>
  <c r="F67" i="10"/>
  <c r="F78" i="10"/>
  <c r="F7" i="10"/>
  <c r="DU20" i="2"/>
  <c r="E30" i="10"/>
  <c r="E20" i="10"/>
  <c r="E14" i="10"/>
  <c r="E86" i="9"/>
  <c r="E65" i="9"/>
  <c r="DU19" i="2"/>
  <c r="E34" i="9"/>
  <c r="F26" i="9"/>
  <c r="FB18" i="2"/>
  <c r="EP18" i="2"/>
  <c r="F20" i="8"/>
  <c r="E95" i="8"/>
  <c r="F34" i="8"/>
  <c r="BQ31" i="2"/>
  <c r="E20" i="7"/>
  <c r="U31" i="2"/>
  <c r="U33" i="2" s="1"/>
  <c r="E87" i="7"/>
  <c r="BA17" i="2"/>
  <c r="F93" i="7"/>
  <c r="E65" i="7"/>
  <c r="EY16" i="2"/>
  <c r="E20" i="6"/>
  <c r="BU16" i="2"/>
  <c r="BV16" i="2" s="1"/>
  <c r="E90" i="6"/>
  <c r="DX16" i="2"/>
  <c r="E12" i="6"/>
  <c r="EA16" i="2"/>
  <c r="AO16" i="2"/>
  <c r="AI16" i="2"/>
  <c r="AC16" i="2"/>
  <c r="C102" i="5"/>
  <c r="D102" i="5"/>
  <c r="FB15" i="2"/>
  <c r="BI32" i="2"/>
  <c r="BI33" i="2" s="1"/>
  <c r="E12" i="4"/>
  <c r="F90" i="4"/>
  <c r="F20" i="4"/>
  <c r="W29" i="2"/>
  <c r="ED28" i="2"/>
  <c r="DX28" i="2"/>
  <c r="CK28" i="2"/>
  <c r="W27" i="2"/>
  <c r="T27" i="2"/>
  <c r="Z26" i="2"/>
  <c r="W24" i="2"/>
  <c r="DQ23" i="2"/>
  <c r="AI23" i="2"/>
  <c r="CF22" i="2"/>
  <c r="AC22" i="2"/>
  <c r="EA19" i="2"/>
  <c r="CF19" i="2"/>
  <c r="AR18" i="2"/>
  <c r="CT16" i="2"/>
  <c r="AU16" i="2"/>
  <c r="DQ15" i="2"/>
  <c r="DP15" i="2"/>
  <c r="AU15" i="2"/>
  <c r="AG31" i="2"/>
  <c r="AG33" i="2" s="1"/>
  <c r="E17" i="4"/>
  <c r="C4" i="4"/>
  <c r="C37" i="4" s="1"/>
  <c r="F84" i="5"/>
  <c r="EV16" i="2"/>
  <c r="E79" i="6"/>
  <c r="F17" i="6"/>
  <c r="F87" i="7"/>
  <c r="F29" i="7"/>
  <c r="F5" i="7"/>
  <c r="E56" i="8"/>
  <c r="E17" i="8"/>
  <c r="E78" i="9"/>
  <c r="F31" i="9"/>
  <c r="C4" i="9"/>
  <c r="E83" i="10"/>
  <c r="F57" i="10"/>
  <c r="E37" i="10"/>
  <c r="E17" i="10"/>
  <c r="F77" i="11"/>
  <c r="E17" i="11"/>
  <c r="E31" i="14"/>
  <c r="E29" i="14"/>
  <c r="C25" i="15"/>
  <c r="E12" i="15"/>
  <c r="F87" i="16"/>
  <c r="F14" i="16"/>
  <c r="F90" i="17"/>
  <c r="E12" i="17"/>
  <c r="C4" i="17"/>
  <c r="E5" i="17"/>
  <c r="E20" i="18"/>
  <c r="E5" i="19"/>
  <c r="C4" i="14"/>
  <c r="F29" i="13"/>
  <c r="E73" i="9"/>
  <c r="DQ17" i="2"/>
  <c r="G21" i="2"/>
  <c r="F7" i="13"/>
  <c r="E65" i="10"/>
  <c r="BM15" i="2"/>
  <c r="N16" i="2"/>
  <c r="BM22" i="2"/>
  <c r="AX21" i="2"/>
  <c r="E34" i="8"/>
  <c r="E26" i="7"/>
  <c r="F65" i="16"/>
  <c r="CF26" i="2"/>
  <c r="EY24" i="2"/>
  <c r="E41" i="18"/>
  <c r="CZ28" i="2"/>
  <c r="D25" i="6"/>
  <c r="E68" i="4"/>
  <c r="F77" i="8"/>
  <c r="H20" i="1"/>
  <c r="CZ15" i="2"/>
  <c r="E66" i="6"/>
  <c r="AL27" i="2"/>
  <c r="AL25" i="2"/>
  <c r="T25" i="2"/>
  <c r="Z24" i="2"/>
  <c r="C4" i="7"/>
  <c r="C4" i="8"/>
  <c r="BY19" i="2"/>
  <c r="D4" i="10"/>
  <c r="C4" i="11"/>
  <c r="E14" i="15"/>
  <c r="F17" i="16"/>
  <c r="F86" i="19"/>
  <c r="E7" i="9"/>
  <c r="F26" i="17"/>
  <c r="AF24" i="2"/>
  <c r="AF16" i="2"/>
  <c r="F65" i="7"/>
  <c r="D4" i="5"/>
  <c r="E5" i="15"/>
  <c r="CF17" i="2"/>
  <c r="CF21" i="2"/>
  <c r="EJ18" i="2"/>
  <c r="F5" i="6"/>
  <c r="DQ22" i="2"/>
  <c r="BG20" i="2"/>
  <c r="AX17" i="2"/>
  <c r="E72" i="8"/>
  <c r="D98" i="11"/>
  <c r="F56" i="11"/>
  <c r="F57" i="9"/>
  <c r="E56" i="12"/>
  <c r="F58" i="17"/>
  <c r="DQ18" i="2"/>
  <c r="DX18" i="2"/>
  <c r="E56" i="11"/>
  <c r="F89" i="18"/>
  <c r="CF28" i="2"/>
  <c r="F14" i="18"/>
  <c r="E35" i="18"/>
  <c r="AC28" i="2"/>
  <c r="C89" i="18"/>
  <c r="EW28" i="2" s="1"/>
  <c r="EY28" i="2" s="1"/>
  <c r="F5" i="18"/>
  <c r="F35" i="18"/>
  <c r="F26" i="18"/>
  <c r="E12" i="18"/>
  <c r="E70" i="19"/>
  <c r="CF29" i="2"/>
  <c r="E37" i="18"/>
  <c r="E39" i="19"/>
  <c r="F17" i="17"/>
  <c r="DW31" i="2"/>
  <c r="D4" i="16"/>
  <c r="F7" i="18"/>
  <c r="CF27" i="2"/>
  <c r="CT27" i="2"/>
  <c r="DZ31" i="2"/>
  <c r="AM31" i="2"/>
  <c r="L31" i="2"/>
  <c r="L33" i="2" s="1"/>
  <c r="D97" i="16"/>
  <c r="EM27" i="2"/>
  <c r="DU26" i="2"/>
  <c r="CV31" i="2"/>
  <c r="CV33" i="2" s="1"/>
  <c r="D99" i="18"/>
  <c r="H35" i="1"/>
  <c r="H6" i="1"/>
  <c r="BX26" i="2"/>
  <c r="ES25" i="2"/>
  <c r="DP25" i="2"/>
  <c r="AC25" i="2"/>
  <c r="E83" i="15"/>
  <c r="D25" i="15"/>
  <c r="E64" i="14"/>
  <c r="AK31" i="2"/>
  <c r="AK33" i="2" s="1"/>
  <c r="CR31" i="2"/>
  <c r="D98" i="15"/>
  <c r="F77" i="14"/>
  <c r="E41" i="14"/>
  <c r="CF25" i="2"/>
  <c r="E81" i="15"/>
  <c r="DV31" i="2"/>
  <c r="DV33" i="2" s="1"/>
  <c r="DP24" i="2"/>
  <c r="F64" i="15"/>
  <c r="H24" i="1"/>
  <c r="CE32" i="2"/>
  <c r="CE33" i="2" s="1"/>
  <c r="ES26" i="2"/>
  <c r="F77" i="15"/>
  <c r="AF21" i="2"/>
  <c r="E77" i="8"/>
  <c r="AI15" i="2"/>
  <c r="FA14" i="2"/>
  <c r="FB14" i="2" s="1"/>
  <c r="EY17" i="2"/>
  <c r="E7" i="13"/>
  <c r="F34" i="9"/>
  <c r="E34" i="15"/>
  <c r="F95" i="18"/>
  <c r="DU17" i="2"/>
  <c r="F91" i="9"/>
  <c r="G36" i="1"/>
  <c r="G7" i="1"/>
  <c r="D7" i="1" s="1"/>
  <c r="BL29" i="2"/>
  <c r="EI26" i="2"/>
  <c r="EU25" i="2"/>
  <c r="EV25" i="2" s="1"/>
  <c r="T23" i="2"/>
  <c r="EI16" i="2"/>
  <c r="EJ16" i="2" s="1"/>
  <c r="F26" i="6"/>
  <c r="DP26" i="2"/>
  <c r="AT31" i="2"/>
  <c r="E63" i="16"/>
  <c r="E86" i="19"/>
  <c r="BC32" i="2"/>
  <c r="BC33" i="2" s="1"/>
  <c r="E66" i="12"/>
  <c r="F66" i="12"/>
  <c r="F81" i="15"/>
  <c r="F63" i="13"/>
  <c r="F72" i="8"/>
  <c r="C98" i="8"/>
  <c r="D98" i="14"/>
  <c r="E78" i="13"/>
  <c r="E20" i="12"/>
  <c r="F83" i="15"/>
  <c r="E92" i="5"/>
  <c r="F17" i="15"/>
  <c r="FA17" i="2"/>
  <c r="FB17" i="2" s="1"/>
  <c r="E83" i="6"/>
  <c r="F33" i="6"/>
  <c r="CQ17" i="2"/>
  <c r="E17" i="6"/>
  <c r="ER15" i="2"/>
  <c r="ES15" i="2" s="1"/>
  <c r="F37" i="10"/>
  <c r="N29" i="2"/>
  <c r="F26" i="7"/>
  <c r="E7" i="16"/>
  <c r="F26" i="15"/>
  <c r="E31" i="9"/>
  <c r="D4" i="15"/>
  <c r="AV29" i="2"/>
  <c r="AX29" i="2" s="1"/>
  <c r="E29" i="15"/>
  <c r="D25" i="9"/>
  <c r="F82" i="7"/>
  <c r="F34" i="15"/>
  <c r="E91" i="13"/>
  <c r="F17" i="18"/>
  <c r="DX14" i="2"/>
  <c r="F17" i="11"/>
  <c r="F83" i="6"/>
  <c r="F74" i="13"/>
  <c r="F80" i="16"/>
  <c r="F62" i="19"/>
  <c r="E14" i="18"/>
  <c r="F20" i="14"/>
  <c r="W25" i="2"/>
  <c r="CQ25" i="2"/>
  <c r="AF22" i="2"/>
  <c r="EQ20" i="2"/>
  <c r="ES20" i="2" s="1"/>
  <c r="EN16" i="2"/>
  <c r="EP16" i="2" s="1"/>
  <c r="E57" i="9"/>
  <c r="F7" i="9"/>
  <c r="E64" i="15"/>
  <c r="F78" i="13"/>
  <c r="E93" i="7"/>
  <c r="E5" i="6"/>
  <c r="D25" i="10"/>
  <c r="DT31" i="2"/>
  <c r="DT33" i="2" s="1"/>
  <c r="E37" i="12"/>
  <c r="F64" i="12"/>
  <c r="EI28" i="2"/>
  <c r="BA24" i="2"/>
  <c r="AX16" i="2"/>
  <c r="E64" i="6"/>
  <c r="DP18" i="2"/>
  <c r="F17" i="19"/>
  <c r="E29" i="4"/>
  <c r="E80" i="16"/>
  <c r="E99" i="9"/>
  <c r="DP19" i="2"/>
  <c r="F14" i="4"/>
  <c r="E77" i="15"/>
  <c r="E94" i="15"/>
  <c r="E82" i="12"/>
  <c r="E79" i="19"/>
  <c r="F30" i="10"/>
  <c r="E85" i="10"/>
  <c r="F66" i="8"/>
  <c r="E84" i="5"/>
  <c r="EY25" i="2"/>
  <c r="C4" i="13"/>
  <c r="F21" i="1"/>
  <c r="C21" i="1" s="1"/>
  <c r="F66" i="14"/>
  <c r="E95" i="18"/>
  <c r="F34" i="19"/>
  <c r="CQ29" i="2"/>
  <c r="DU24" i="2"/>
  <c r="CQ24" i="2"/>
  <c r="BA23" i="2"/>
  <c r="CY31" i="2"/>
  <c r="BA20" i="2"/>
  <c r="EH17" i="2"/>
  <c r="EJ17" i="2" s="1"/>
  <c r="AF15" i="2"/>
  <c r="EK14" i="2"/>
  <c r="EM14" i="2" s="1"/>
  <c r="E29" i="13"/>
  <c r="F12" i="13"/>
  <c r="E65" i="18"/>
  <c r="AX28" i="2"/>
  <c r="DX17" i="2"/>
  <c r="AO25" i="2"/>
  <c r="AC24" i="2"/>
  <c r="EK29" i="2"/>
  <c r="EM29" i="2" s="1"/>
  <c r="CT29" i="2"/>
  <c r="AL16" i="2"/>
  <c r="F96" i="6"/>
  <c r="T28" i="2"/>
  <c r="D97" i="7"/>
  <c r="AO28" i="2"/>
  <c r="CT21" i="2"/>
  <c r="N14" i="2"/>
  <c r="EG28" i="2"/>
  <c r="CQ21" i="2"/>
  <c r="F56" i="6"/>
  <c r="F7" i="6"/>
  <c r="DS31" i="2"/>
  <c r="DS33" i="2" s="1"/>
  <c r="CK26" i="2"/>
  <c r="CG26" i="2"/>
  <c r="CG29" i="2"/>
  <c r="CG28" i="2"/>
  <c r="CG27" i="2"/>
  <c r="CU31" i="2"/>
  <c r="CU33" i="2" s="1"/>
  <c r="CG24" i="2"/>
  <c r="EV22" i="2"/>
  <c r="CL31" i="2"/>
  <c r="CL33" i="2" s="1"/>
  <c r="CG22" i="2"/>
  <c r="AJ31" i="2"/>
  <c r="R31" i="2"/>
  <c r="R33" i="2" s="1"/>
  <c r="AI22" i="2"/>
  <c r="CG21" i="2"/>
  <c r="CG18" i="2"/>
  <c r="BG19" i="2"/>
  <c r="CG25" i="2"/>
  <c r="CG20" i="2"/>
  <c r="CG19" i="2"/>
  <c r="CG16" i="2"/>
  <c r="CG15" i="2"/>
  <c r="CG14" i="2"/>
  <c r="G20" i="2"/>
  <c r="AL22" i="2"/>
  <c r="CK20" i="2"/>
  <c r="S31" i="2"/>
  <c r="V31" i="2"/>
  <c r="E37" i="7"/>
  <c r="F37" i="7"/>
  <c r="E56" i="6"/>
  <c r="E55" i="7"/>
  <c r="F55" i="7"/>
  <c r="F39" i="19"/>
  <c r="EG17" i="2"/>
  <c r="F14" i="5"/>
  <c r="FB19" i="2"/>
  <c r="E26" i="9"/>
  <c r="E32" i="10"/>
  <c r="F5" i="10"/>
  <c r="E74" i="13"/>
  <c r="F90" i="6"/>
  <c r="H38" i="1"/>
  <c r="CN18" i="2"/>
  <c r="F17" i="10"/>
  <c r="F56" i="12"/>
  <c r="CN14" i="2"/>
  <c r="F12" i="14"/>
  <c r="F12" i="17"/>
  <c r="E5" i="18"/>
  <c r="E7" i="14"/>
  <c r="E7" i="15"/>
  <c r="Z22" i="2"/>
  <c r="F5" i="8"/>
  <c r="F32" i="1"/>
  <c r="BX15" i="2"/>
  <c r="F38" i="5"/>
  <c r="E82" i="7"/>
  <c r="ET17" i="2"/>
  <c r="EV17" i="2" s="1"/>
  <c r="F36" i="8"/>
  <c r="BW18" i="2"/>
  <c r="BY18" i="2" s="1"/>
  <c r="E26" i="8"/>
  <c r="D25" i="8"/>
  <c r="E12" i="13"/>
  <c r="DP22" i="2"/>
  <c r="BY22" i="2"/>
  <c r="E26" i="4"/>
  <c r="F26" i="4"/>
  <c r="C4" i="15"/>
  <c r="E65" i="16"/>
  <c r="EH26" i="2"/>
  <c r="F7" i="17"/>
  <c r="E7" i="17"/>
  <c r="F33" i="1"/>
  <c r="C33" i="1" s="1"/>
  <c r="F73" i="4"/>
  <c r="EO14" i="2"/>
  <c r="EP14" i="2" s="1"/>
  <c r="AF29" i="2"/>
  <c r="DU28" i="2"/>
  <c r="AF27" i="2"/>
  <c r="BA27" i="2"/>
  <c r="BA26" i="2"/>
  <c r="DX24" i="2"/>
  <c r="AL24" i="2"/>
  <c r="AF23" i="2"/>
  <c r="AL23" i="2"/>
  <c r="CQ20" i="2"/>
  <c r="BA16" i="2"/>
  <c r="CQ15" i="2"/>
  <c r="N15" i="2"/>
  <c r="F12" i="4"/>
  <c r="E74" i="5"/>
  <c r="E80" i="7"/>
  <c r="F7" i="14"/>
  <c r="F5" i="15"/>
  <c r="F7" i="15"/>
  <c r="F63" i="16"/>
  <c r="E31" i="19"/>
  <c r="E68" i="17"/>
  <c r="BA28" i="2"/>
  <c r="AX14" i="2"/>
  <c r="AX25" i="2"/>
  <c r="BG14" i="2"/>
  <c r="F14" i="2"/>
  <c r="CK24" i="2"/>
  <c r="Z21" i="2"/>
  <c r="F12" i="19"/>
  <c r="F41" i="12"/>
  <c r="E41" i="12"/>
  <c r="F40" i="17"/>
  <c r="E40" i="17"/>
  <c r="AL29" i="2"/>
  <c r="E14" i="11"/>
  <c r="D4" i="11"/>
  <c r="E7" i="7"/>
  <c r="C71" i="7"/>
  <c r="EK17" i="2" s="1"/>
  <c r="F15" i="1"/>
  <c r="CK27" i="2"/>
  <c r="Z23" i="2"/>
  <c r="ED15" i="2"/>
  <c r="EV14" i="2"/>
  <c r="F30" i="6"/>
  <c r="D100" i="10"/>
  <c r="G18" i="1"/>
  <c r="N23" i="2"/>
  <c r="EB31" i="2"/>
  <c r="CP31" i="2"/>
  <c r="CP33" i="2" s="1"/>
  <c r="EP25" i="2"/>
  <c r="E40" i="7"/>
  <c r="F70" i="19"/>
  <c r="AR24" i="2"/>
  <c r="CF20" i="2"/>
  <c r="E77" i="14"/>
  <c r="DG32" i="2"/>
  <c r="DG33" i="2" s="1"/>
  <c r="EV29" i="2"/>
  <c r="EY27" i="2"/>
  <c r="DQ25" i="2"/>
  <c r="BM23" i="2"/>
  <c r="E36" i="9"/>
  <c r="F47" i="17"/>
  <c r="F36" i="17"/>
  <c r="E72" i="12"/>
  <c r="AI26" i="2"/>
  <c r="EA24" i="2"/>
  <c r="CN24" i="2"/>
  <c r="AU19" i="2"/>
  <c r="T19" i="2"/>
  <c r="EA18" i="2"/>
  <c r="E85" i="6"/>
  <c r="F17" i="9"/>
  <c r="F83" i="10"/>
  <c r="E5" i="10"/>
  <c r="E85" i="13"/>
  <c r="F82" i="16"/>
  <c r="G24" i="2"/>
  <c r="E9" i="1"/>
  <c r="AQ31" i="2"/>
  <c r="EK22" i="2"/>
  <c r="EM22" i="2" s="1"/>
  <c r="E74" i="17"/>
  <c r="BD31" i="2"/>
  <c r="BY29" i="2"/>
  <c r="EG26" i="2"/>
  <c r="ED26" i="2"/>
  <c r="DQ26" i="2"/>
  <c r="AO26" i="2"/>
  <c r="EA23" i="2"/>
  <c r="W21" i="2"/>
  <c r="AO21" i="2"/>
  <c r="W18" i="2"/>
  <c r="EA17" i="2"/>
  <c r="AD31" i="2"/>
  <c r="AD33" i="2" s="1"/>
  <c r="X31" i="2"/>
  <c r="X33" i="2" s="1"/>
  <c r="EG16" i="2"/>
  <c r="CK16" i="2"/>
  <c r="W16" i="2"/>
  <c r="E87" i="5"/>
  <c r="F64" i="6"/>
  <c r="F36" i="6"/>
  <c r="E29" i="7"/>
  <c r="E17" i="7"/>
  <c r="F64" i="8"/>
  <c r="E31" i="8"/>
  <c r="F29" i="11"/>
  <c r="E84" i="12"/>
  <c r="ES24" i="2"/>
  <c r="D25" i="14"/>
  <c r="F84" i="18"/>
  <c r="F37" i="18"/>
  <c r="F20" i="18"/>
  <c r="D4" i="18"/>
  <c r="E60" i="4"/>
  <c r="F41" i="18"/>
  <c r="AI25" i="2"/>
  <c r="Y31" i="2"/>
  <c r="F88" i="15"/>
  <c r="H34" i="1"/>
  <c r="H12" i="1"/>
  <c r="E81" i="14"/>
  <c r="G27" i="2"/>
  <c r="CM31" i="2"/>
  <c r="CM33" i="2" s="1"/>
  <c r="CS31" i="2"/>
  <c r="CS33" i="2" s="1"/>
  <c r="AH31" i="2"/>
  <c r="EQ17" i="2"/>
  <c r="ES17" i="2" s="1"/>
  <c r="T17" i="2"/>
  <c r="EJ22" i="2"/>
  <c r="ES29" i="2"/>
  <c r="F92" i="5"/>
  <c r="EV19" i="2"/>
  <c r="F20" i="12"/>
  <c r="BY16" i="2"/>
  <c r="CI31" i="2"/>
  <c r="CI33" i="2" s="1"/>
  <c r="H39" i="1"/>
  <c r="DF31" i="2"/>
  <c r="DH31" i="2"/>
  <c r="CD32" i="2"/>
  <c r="CD33" i="2" s="1"/>
  <c r="Z29" i="2"/>
  <c r="FB28" i="2"/>
  <c r="AI28" i="2"/>
  <c r="Z27" i="2"/>
  <c r="ED24" i="2"/>
  <c r="ED23" i="2"/>
  <c r="DX23" i="2"/>
  <c r="AC23" i="2"/>
  <c r="CK22" i="2"/>
  <c r="ED21" i="2"/>
  <c r="BM21" i="2"/>
  <c r="AO20" i="2"/>
  <c r="AC20" i="2"/>
  <c r="W20" i="2"/>
  <c r="T20" i="2"/>
  <c r="CT19" i="2"/>
  <c r="AS31" i="2"/>
  <c r="AS32" i="2" s="1"/>
  <c r="AS33" i="2" s="1"/>
  <c r="AO19" i="2"/>
  <c r="AI19" i="2"/>
  <c r="ED18" i="2"/>
  <c r="ED17" i="2"/>
  <c r="CK17" i="2"/>
  <c r="AI17" i="2"/>
  <c r="Z17" i="2"/>
  <c r="Z16" i="2"/>
  <c r="T16" i="2"/>
  <c r="W15" i="2"/>
  <c r="T15" i="2"/>
  <c r="DP14" i="2"/>
  <c r="CT14" i="2"/>
  <c r="AO14" i="2"/>
  <c r="F29" i="4"/>
  <c r="E5" i="4"/>
  <c r="E58" i="5"/>
  <c r="D25" i="5"/>
  <c r="E30" i="6"/>
  <c r="E5" i="7"/>
  <c r="E20" i="8"/>
  <c r="E12" i="8"/>
  <c r="E14" i="9"/>
  <c r="F32" i="10"/>
  <c r="F26" i="10"/>
  <c r="F88" i="11"/>
  <c r="E29" i="11"/>
  <c r="F31" i="14"/>
  <c r="E93" i="16"/>
  <c r="F85" i="17"/>
  <c r="E58" i="17"/>
  <c r="E20" i="17"/>
  <c r="F79" i="19"/>
  <c r="F20" i="19"/>
  <c r="H40" i="1"/>
  <c r="BM27" i="2"/>
  <c r="BK31" i="2"/>
  <c r="BK33" i="2" s="1"/>
  <c r="E36" i="7"/>
  <c r="F36" i="7"/>
  <c r="BW17" i="2"/>
  <c r="BY17" i="2" s="1"/>
  <c r="EF31" i="2"/>
  <c r="EF33" i="2" s="1"/>
  <c r="FB26" i="2"/>
  <c r="DP23" i="2"/>
  <c r="AL17" i="2"/>
  <c r="CN16" i="2"/>
  <c r="EG15" i="2"/>
  <c r="CF15" i="2"/>
  <c r="E64" i="8"/>
  <c r="F90" i="10"/>
  <c r="F14" i="10"/>
  <c r="F84" i="12"/>
  <c r="F5" i="13"/>
  <c r="F83" i="14"/>
  <c r="E26" i="15"/>
  <c r="F12" i="15"/>
  <c r="E31" i="16"/>
  <c r="F20" i="17"/>
  <c r="F65" i="18"/>
  <c r="E20" i="19"/>
  <c r="AF26" i="2"/>
  <c r="E61" i="13"/>
  <c r="F40" i="16"/>
  <c r="E41" i="10"/>
  <c r="ES16" i="2"/>
  <c r="CT26" i="2"/>
  <c r="EV24" i="2"/>
  <c r="ES22" i="2"/>
  <c r="EG22" i="2"/>
  <c r="CT22" i="2"/>
  <c r="EA21" i="2"/>
  <c r="EJ20" i="2"/>
  <c r="EG19" i="2"/>
  <c r="AO15" i="2"/>
  <c r="Z15" i="2"/>
  <c r="Z14" i="2"/>
  <c r="EV20" i="2"/>
  <c r="F14" i="15"/>
  <c r="E5" i="16"/>
  <c r="C23" i="13"/>
  <c r="E66" i="5"/>
  <c r="AF18" i="2"/>
  <c r="F68" i="4"/>
  <c r="DY31" i="2"/>
  <c r="DY33" i="2" s="1"/>
  <c r="CN15" i="2"/>
  <c r="AI14" i="2"/>
  <c r="E30" i="5"/>
  <c r="F20" i="7"/>
  <c r="F29" i="14"/>
  <c r="F12" i="18"/>
  <c r="C4" i="18"/>
  <c r="F7" i="4"/>
  <c r="BA15" i="2"/>
  <c r="F33" i="5"/>
  <c r="BG28" i="2"/>
  <c r="EG27" i="2"/>
  <c r="AL26" i="2"/>
  <c r="W26" i="2"/>
  <c r="EA25" i="2"/>
  <c r="CT24" i="2"/>
  <c r="EY23" i="2"/>
  <c r="FB21" i="2"/>
  <c r="AI21" i="2"/>
  <c r="EG20" i="2"/>
  <c r="EA20" i="2"/>
  <c r="CT20" i="2"/>
  <c r="CN20" i="2"/>
  <c r="EY15" i="2"/>
  <c r="F84" i="4"/>
  <c r="E14" i="5"/>
  <c r="F89" i="8"/>
  <c r="F12" i="8"/>
  <c r="C25" i="10"/>
  <c r="E83" i="11"/>
  <c r="BX28" i="2"/>
  <c r="G28" i="2" s="1"/>
  <c r="N28" i="2"/>
  <c r="N24" i="2"/>
  <c r="F66" i="15"/>
  <c r="BH31" i="2"/>
  <c r="BJ14" i="2"/>
  <c r="G41" i="1"/>
  <c r="F5" i="1"/>
  <c r="C5" i="1" s="1"/>
  <c r="E12" i="5"/>
  <c r="F12" i="5"/>
  <c r="C25" i="7"/>
  <c r="F17" i="8"/>
  <c r="D4" i="8"/>
  <c r="EN19" i="2"/>
  <c r="EP19" i="2" s="1"/>
  <c r="F78" i="9"/>
  <c r="E5" i="9"/>
  <c r="F5" i="9"/>
  <c r="E78" i="10"/>
  <c r="EO20" i="2"/>
  <c r="EO21" i="2"/>
  <c r="EP21" i="2" s="1"/>
  <c r="E77" i="11"/>
  <c r="E31" i="11"/>
  <c r="E26" i="11"/>
  <c r="F26" i="11"/>
  <c r="E32" i="12"/>
  <c r="F32" i="12"/>
  <c r="E33" i="13"/>
  <c r="BX23" i="2"/>
  <c r="BY23" i="2" s="1"/>
  <c r="F33" i="13"/>
  <c r="E14" i="13"/>
  <c r="F14" i="13"/>
  <c r="F20" i="16"/>
  <c r="E20" i="16"/>
  <c r="E29" i="17"/>
  <c r="F29" i="17"/>
  <c r="E62" i="19"/>
  <c r="EE29" i="2"/>
  <c r="EG29" i="2" s="1"/>
  <c r="EQ18" i="2"/>
  <c r="E81" i="8"/>
  <c r="C25" i="8"/>
  <c r="F26" i="8"/>
  <c r="G16" i="1"/>
  <c r="D16" i="1" s="1"/>
  <c r="E67" i="9"/>
  <c r="EI19" i="2"/>
  <c r="F67" i="9"/>
  <c r="E66" i="11"/>
  <c r="F66" i="11"/>
  <c r="EI21" i="2"/>
  <c r="E77" i="4"/>
  <c r="EQ14" i="2"/>
  <c r="F77" i="4"/>
  <c r="C72" i="15"/>
  <c r="C98" i="15" s="1"/>
  <c r="E75" i="15"/>
  <c r="C71" i="16"/>
  <c r="F72" i="16"/>
  <c r="E72" i="16"/>
  <c r="C83" i="17"/>
  <c r="E83" i="17" s="1"/>
  <c r="F84" i="17"/>
  <c r="E84" i="17"/>
  <c r="E77" i="18"/>
  <c r="C73" i="18"/>
  <c r="F77" i="18"/>
  <c r="E64" i="18"/>
  <c r="C57" i="18"/>
  <c r="F64" i="18"/>
  <c r="C75" i="19"/>
  <c r="C96" i="19" s="1"/>
  <c r="F78" i="19"/>
  <c r="H11" i="1"/>
  <c r="D100" i="6"/>
  <c r="F93" i="9"/>
  <c r="E90" i="10"/>
  <c r="FB23" i="2"/>
  <c r="F66" i="5"/>
  <c r="E32" i="18"/>
  <c r="CQ18" i="2"/>
  <c r="G13" i="1"/>
  <c r="D13" i="1" s="1"/>
  <c r="BL14" i="2"/>
  <c r="E31" i="4"/>
  <c r="E5" i="5"/>
  <c r="F5" i="5"/>
  <c r="EZ16" i="2"/>
  <c r="E96" i="6"/>
  <c r="E14" i="6"/>
  <c r="D4" i="6"/>
  <c r="F14" i="6"/>
  <c r="EW19" i="2"/>
  <c r="E93" i="9"/>
  <c r="EK19" i="2"/>
  <c r="C103" i="9"/>
  <c r="F96" i="10"/>
  <c r="FA20" i="2"/>
  <c r="E96" i="10"/>
  <c r="E57" i="10"/>
  <c r="F36" i="11"/>
  <c r="BW21" i="2"/>
  <c r="BY21" i="2" s="1"/>
  <c r="E36" i="11"/>
  <c r="E37" i="15"/>
  <c r="BW25" i="2"/>
  <c r="F25" i="2" s="1"/>
  <c r="F37" i="15"/>
  <c r="EH28" i="2"/>
  <c r="F67" i="18"/>
  <c r="EZ29" i="2"/>
  <c r="FB29" i="2" s="1"/>
  <c r="F92" i="19"/>
  <c r="F37" i="1"/>
  <c r="E12" i="11"/>
  <c r="F12" i="11"/>
  <c r="EK15" i="2"/>
  <c r="F74" i="5"/>
  <c r="D100" i="17"/>
  <c r="E66" i="17"/>
  <c r="F66" i="17"/>
  <c r="F76" i="16"/>
  <c r="E76" i="16"/>
  <c r="EO26" i="2"/>
  <c r="E54" i="19"/>
  <c r="F54" i="19"/>
  <c r="E82" i="18"/>
  <c r="ER28" i="2"/>
  <c r="ES28" i="2" s="1"/>
  <c r="F82" i="18"/>
  <c r="F39" i="4"/>
  <c r="E75" i="6"/>
  <c r="C72" i="6"/>
  <c r="F75" i="6"/>
  <c r="E73" i="7"/>
  <c r="F73" i="7"/>
  <c r="F79" i="7"/>
  <c r="C76" i="7"/>
  <c r="CX31" i="2"/>
  <c r="CX33" i="2" s="1"/>
  <c r="CZ19" i="2"/>
  <c r="F74" i="17"/>
  <c r="CT28" i="2"/>
  <c r="F31" i="8"/>
  <c r="E17" i="9"/>
  <c r="F31" i="11"/>
  <c r="C95" i="13"/>
  <c r="F88" i="14"/>
  <c r="C25" i="14"/>
  <c r="E14" i="16"/>
  <c r="D103" i="9"/>
  <c r="EY22" i="2"/>
  <c r="DQ16" i="2"/>
  <c r="ED16" i="2"/>
  <c r="F19" i="1"/>
  <c r="C19" i="1" s="1"/>
  <c r="F7" i="1"/>
  <c r="C7" i="1" s="1"/>
  <c r="EN15" i="2"/>
  <c r="F79" i="5"/>
  <c r="E79" i="5"/>
  <c r="E14" i="7"/>
  <c r="F14" i="7"/>
  <c r="BE18" i="2"/>
  <c r="F29" i="8"/>
  <c r="E29" i="8"/>
  <c r="E83" i="9"/>
  <c r="F83" i="9"/>
  <c r="ER19" i="2"/>
  <c r="F12" i="10"/>
  <c r="C4" i="10"/>
  <c r="F64" i="11"/>
  <c r="E20" i="11"/>
  <c r="F20" i="11"/>
  <c r="E5" i="11"/>
  <c r="F5" i="11"/>
  <c r="F17" i="12"/>
  <c r="C4" i="12"/>
  <c r="E17" i="12"/>
  <c r="F80" i="13"/>
  <c r="EU23" i="2"/>
  <c r="EV23" i="2" s="1"/>
  <c r="E80" i="13"/>
  <c r="EK23" i="2"/>
  <c r="F69" i="13"/>
  <c r="F56" i="14"/>
  <c r="E56" i="14"/>
  <c r="E12" i="14"/>
  <c r="D4" i="14"/>
  <c r="ER27" i="2"/>
  <c r="D4" i="17"/>
  <c r="F14" i="17"/>
  <c r="E14" i="17"/>
  <c r="F30" i="18"/>
  <c r="E30" i="18"/>
  <c r="C25" i="18"/>
  <c r="E14" i="19"/>
  <c r="F14" i="19"/>
  <c r="F73" i="9"/>
  <c r="EL19" i="2"/>
  <c r="E52" i="4"/>
  <c r="F52" i="4"/>
  <c r="DQ20" i="2"/>
  <c r="DX20" i="2"/>
  <c r="DU14" i="2"/>
  <c r="DQ14" i="2"/>
  <c r="F35" i="12"/>
  <c r="E35" i="12"/>
  <c r="E37" i="13"/>
  <c r="F37" i="13"/>
  <c r="E7" i="5"/>
  <c r="F7" i="5"/>
  <c r="EH27" i="2"/>
  <c r="F68" i="17"/>
  <c r="E13" i="7"/>
  <c r="AE17" i="2"/>
  <c r="F13" i="7"/>
  <c r="AE19" i="2"/>
  <c r="G19" i="2" s="1"/>
  <c r="E13" i="9"/>
  <c r="D12" i="9"/>
  <c r="F95" i="8"/>
  <c r="CK23" i="2"/>
  <c r="N22" i="2"/>
  <c r="E17" i="5"/>
  <c r="F17" i="5"/>
  <c r="E63" i="7"/>
  <c r="F63" i="7"/>
  <c r="F84" i="8"/>
  <c r="E84" i="8"/>
  <c r="EU18" i="2"/>
  <c r="E29" i="9"/>
  <c r="F29" i="9"/>
  <c r="EL20" i="2"/>
  <c r="F14" i="12"/>
  <c r="D4" i="12"/>
  <c r="E27" i="13"/>
  <c r="F27" i="13"/>
  <c r="E94" i="14"/>
  <c r="F94" i="14"/>
  <c r="EZ24" i="2"/>
  <c r="FB24" i="2" s="1"/>
  <c r="E14" i="14"/>
  <c r="F14" i="14"/>
  <c r="E85" i="17"/>
  <c r="ET27" i="2"/>
  <c r="EV27" i="2" s="1"/>
  <c r="E78" i="18"/>
  <c r="EN28" i="2"/>
  <c r="EP28" i="2" s="1"/>
  <c r="F78" i="18"/>
  <c r="E81" i="19"/>
  <c r="F81" i="19"/>
  <c r="EH29" i="2"/>
  <c r="EJ29" i="2" s="1"/>
  <c r="E64" i="19"/>
  <c r="F64" i="19"/>
  <c r="C4" i="19"/>
  <c r="F5" i="19"/>
  <c r="F65" i="10"/>
  <c r="EL17" i="2"/>
  <c r="EI14" i="2"/>
  <c r="F62" i="4"/>
  <c r="E62" i="4"/>
  <c r="CO31" i="2"/>
  <c r="CO33" i="2" s="1"/>
  <c r="CQ16" i="2"/>
  <c r="DC14" i="2"/>
  <c r="DB31" i="2"/>
  <c r="F75" i="10"/>
  <c r="C73" i="10"/>
  <c r="EK20" i="2" s="1"/>
  <c r="F73" i="11"/>
  <c r="C72" i="11"/>
  <c r="C81" i="11"/>
  <c r="E82" i="11"/>
  <c r="E70" i="13"/>
  <c r="F70" i="13"/>
  <c r="C72" i="14"/>
  <c r="F75" i="14"/>
  <c r="F99" i="9"/>
  <c r="D25" i="7"/>
  <c r="BG21" i="2"/>
  <c r="BG15" i="2"/>
  <c r="ES23" i="2"/>
  <c r="EV28" i="2"/>
  <c r="CQ26" i="2"/>
  <c r="DU25" i="2"/>
  <c r="EG24" i="2"/>
  <c r="DX21" i="2"/>
  <c r="AR21" i="2"/>
  <c r="ED20" i="2"/>
  <c r="N20" i="2"/>
  <c r="AL19" i="2"/>
  <c r="AL18" i="2"/>
  <c r="T18" i="2"/>
  <c r="CT17" i="2"/>
  <c r="W17" i="2"/>
  <c r="AX26" i="2"/>
  <c r="H31" i="1"/>
  <c r="DP29" i="2"/>
  <c r="CN29" i="2"/>
  <c r="T29" i="2"/>
  <c r="EA28" i="2"/>
  <c r="EA27" i="2"/>
  <c r="DU27" i="2"/>
  <c r="AI27" i="2"/>
  <c r="DX26" i="2"/>
  <c r="BM26" i="2"/>
  <c r="DX25" i="2"/>
  <c r="BM25" i="2"/>
  <c r="Z25" i="2"/>
  <c r="CT25" i="2"/>
  <c r="EJ24" i="2"/>
  <c r="EP23" i="2"/>
  <c r="W23" i="2"/>
  <c r="FB22" i="2"/>
  <c r="EA22" i="2"/>
  <c r="AO22" i="2"/>
  <c r="AI20" i="2"/>
  <c r="CK19" i="2"/>
  <c r="Z19" i="2"/>
  <c r="AA31" i="2"/>
  <c r="AA32" i="2" s="1"/>
  <c r="AA33" i="2" s="1"/>
  <c r="CN17" i="2"/>
  <c r="BM17" i="2"/>
  <c r="AC17" i="2"/>
  <c r="DU16" i="2"/>
  <c r="AC14" i="2"/>
  <c r="W14" i="2"/>
  <c r="BY20" i="2"/>
  <c r="H17" i="1"/>
  <c r="ED29" i="2"/>
  <c r="CK29" i="2"/>
  <c r="DQ28" i="2"/>
  <c r="CN28" i="2"/>
  <c r="Z28" i="2"/>
  <c r="W28" i="2"/>
  <c r="DX27" i="2"/>
  <c r="EA26" i="2"/>
  <c r="CN26" i="2"/>
  <c r="BM24" i="2"/>
  <c r="ED22" i="2"/>
  <c r="EY21" i="2"/>
  <c r="DU21" i="2"/>
  <c r="CN21" i="2"/>
  <c r="CK21" i="2"/>
  <c r="BM20" i="2"/>
  <c r="Z20" i="2"/>
  <c r="DX19" i="2"/>
  <c r="AC19" i="2"/>
  <c r="DP17" i="2"/>
  <c r="CJ31" i="2"/>
  <c r="BM16" i="2"/>
  <c r="EG14" i="2"/>
  <c r="EA14" i="2"/>
  <c r="T14" i="2"/>
  <c r="AX15" i="2"/>
  <c r="CZ26" i="2"/>
  <c r="AX27" i="2"/>
  <c r="E11" i="1"/>
  <c r="BN32" i="2"/>
  <c r="BN33" i="2" s="1"/>
  <c r="BP31" i="2"/>
  <c r="DK32" i="2"/>
  <c r="DK33" i="2" s="1"/>
  <c r="DP28" i="2"/>
  <c r="DP27" i="2"/>
  <c r="EC31" i="2"/>
  <c r="EC33" i="2" s="1"/>
  <c r="AN31" i="2"/>
  <c r="AN33" i="2" s="1"/>
  <c r="EM18" i="2"/>
  <c r="DQ27" i="2"/>
  <c r="DP21" i="2"/>
  <c r="F30" i="1" l="1"/>
  <c r="H18" i="1"/>
  <c r="D18" i="1"/>
  <c r="H32" i="1"/>
  <c r="C32" i="1"/>
  <c r="H15" i="1"/>
  <c r="C15" i="1"/>
  <c r="G29" i="2"/>
  <c r="D29" i="2" s="1"/>
  <c r="FD29" i="2" s="1"/>
  <c r="CY33" i="2"/>
  <c r="BA19" i="2"/>
  <c r="AY31" i="2"/>
  <c r="AY33" i="2" s="1"/>
  <c r="F24" i="2"/>
  <c r="C24" i="2" s="1"/>
  <c r="F29" i="2"/>
  <c r="C29" i="2" s="1"/>
  <c r="F21" i="2"/>
  <c r="F18" i="2"/>
  <c r="F17" i="2"/>
  <c r="C17" i="2" s="1"/>
  <c r="C100" i="17"/>
  <c r="BV15" i="2"/>
  <c r="D38" i="19"/>
  <c r="D49" i="19" s="1"/>
  <c r="D50" i="19" s="1"/>
  <c r="D39" i="16"/>
  <c r="D50" i="16" s="1"/>
  <c r="CJ33" i="2"/>
  <c r="AH33" i="2"/>
  <c r="Y33" i="2"/>
  <c r="S33" i="2"/>
  <c r="AJ33" i="2"/>
  <c r="CR33" i="2"/>
  <c r="AM33" i="2"/>
  <c r="DW33" i="2"/>
  <c r="EX33" i="2"/>
  <c r="EB33" i="2"/>
  <c r="V33" i="2"/>
  <c r="AW33" i="2"/>
  <c r="G18" i="2"/>
  <c r="D18" i="2" s="1"/>
  <c r="AZ31" i="2"/>
  <c r="AZ33" i="2" s="1"/>
  <c r="C41" i="5"/>
  <c r="C53" i="5" s="1"/>
  <c r="C54" i="5" s="1"/>
  <c r="D40" i="18"/>
  <c r="D52" i="18" s="1"/>
  <c r="BY15" i="2"/>
  <c r="G15" i="2"/>
  <c r="D15" i="2" s="1"/>
  <c r="CH29" i="2"/>
  <c r="E25" i="15"/>
  <c r="EJ26" i="2"/>
  <c r="BT31" i="2"/>
  <c r="E25" i="5"/>
  <c r="E4" i="13"/>
  <c r="DF32" i="2"/>
  <c r="DF33" i="2" s="1"/>
  <c r="E25" i="16"/>
  <c r="BY26" i="2"/>
  <c r="F4" i="16"/>
  <c r="E36" i="16"/>
  <c r="F36" i="16"/>
  <c r="E4" i="10"/>
  <c r="D40" i="10"/>
  <c r="D52" i="10" s="1"/>
  <c r="CH18" i="2"/>
  <c r="CH23" i="2"/>
  <c r="E4" i="16"/>
  <c r="C40" i="14"/>
  <c r="C51" i="14" s="1"/>
  <c r="F4" i="13"/>
  <c r="E25" i="12"/>
  <c r="E71" i="7"/>
  <c r="C41" i="6"/>
  <c r="C51" i="6" s="1"/>
  <c r="G16" i="2"/>
  <c r="D16" i="2" s="1"/>
  <c r="BU31" i="2"/>
  <c r="BU33" i="2" s="1"/>
  <c r="E4" i="5"/>
  <c r="F4" i="4"/>
  <c r="D47" i="4"/>
  <c r="DM20" i="2"/>
  <c r="DR23" i="2"/>
  <c r="DR19" i="2"/>
  <c r="BS31" i="2"/>
  <c r="EE31" i="2"/>
  <c r="EY26" i="2"/>
  <c r="D40" i="14"/>
  <c r="AR31" i="2"/>
  <c r="AR33" i="2" s="1"/>
  <c r="DR24" i="2"/>
  <c r="H20" i="2"/>
  <c r="C19" i="2"/>
  <c r="BR32" i="2"/>
  <c r="BR33" i="2" s="1"/>
  <c r="F98" i="8"/>
  <c r="CH16" i="2"/>
  <c r="DM14" i="2"/>
  <c r="H33" i="1"/>
  <c r="BQ32" i="2"/>
  <c r="BQ33" i="2" s="1"/>
  <c r="C16" i="2"/>
  <c r="CH19" i="2"/>
  <c r="C28" i="2"/>
  <c r="BF31" i="2"/>
  <c r="E4" i="11"/>
  <c r="F25" i="9"/>
  <c r="F71" i="7"/>
  <c r="E25" i="6"/>
  <c r="F4" i="5"/>
  <c r="C23" i="2"/>
  <c r="E25" i="19"/>
  <c r="DR29" i="2"/>
  <c r="C39" i="17"/>
  <c r="C53" i="17" s="1"/>
  <c r="DR26" i="2"/>
  <c r="BG25" i="2"/>
  <c r="F25" i="15"/>
  <c r="DN22" i="2"/>
  <c r="F25" i="12"/>
  <c r="F4" i="11"/>
  <c r="F102" i="5"/>
  <c r="E4" i="4"/>
  <c r="F94" i="4"/>
  <c r="CH26" i="2"/>
  <c r="DR18" i="2"/>
  <c r="DR15" i="2"/>
  <c r="F25" i="19"/>
  <c r="BM29" i="2"/>
  <c r="C26" i="2"/>
  <c r="DN25" i="2"/>
  <c r="CH25" i="2"/>
  <c r="CH24" i="2"/>
  <c r="G22" i="2"/>
  <c r="H22" i="2" s="1"/>
  <c r="C40" i="12"/>
  <c r="C51" i="12" s="1"/>
  <c r="C39" i="11"/>
  <c r="C51" i="11" s="1"/>
  <c r="CH17" i="2"/>
  <c r="C39" i="7"/>
  <c r="C50" i="7" s="1"/>
  <c r="DR17" i="2"/>
  <c r="F25" i="6"/>
  <c r="AU31" i="2"/>
  <c r="AT32" i="2"/>
  <c r="AT33" i="2" s="1"/>
  <c r="E102" i="5"/>
  <c r="C15" i="2"/>
  <c r="C47" i="4"/>
  <c r="E94" i="4"/>
  <c r="DN15" i="2"/>
  <c r="CH20" i="2"/>
  <c r="C22" i="2"/>
  <c r="CH14" i="2"/>
  <c r="D28" i="2"/>
  <c r="H28" i="2"/>
  <c r="CH27" i="2"/>
  <c r="F4" i="15"/>
  <c r="DZ33" i="2"/>
  <c r="CH28" i="2"/>
  <c r="E89" i="18"/>
  <c r="CF31" i="2"/>
  <c r="EA31" i="2"/>
  <c r="D27" i="2"/>
  <c r="DU31" i="2"/>
  <c r="CW31" i="2"/>
  <c r="T31" i="2"/>
  <c r="G4" i="1"/>
  <c r="G26" i="2"/>
  <c r="D26" i="2" s="1"/>
  <c r="AL31" i="2"/>
  <c r="DX31" i="2"/>
  <c r="E4" i="15"/>
  <c r="D40" i="15"/>
  <c r="D51" i="15" s="1"/>
  <c r="DR25" i="2"/>
  <c r="DN16" i="2"/>
  <c r="EJ28" i="2"/>
  <c r="F25" i="10"/>
  <c r="D25" i="2"/>
  <c r="AV31" i="2"/>
  <c r="H36" i="1"/>
  <c r="D36" i="1"/>
  <c r="E36" i="1" s="1"/>
  <c r="N31" i="2"/>
  <c r="BW31" i="2"/>
  <c r="DM18" i="2"/>
  <c r="D39" i="11"/>
  <c r="D51" i="11" s="1"/>
  <c r="DM23" i="2"/>
  <c r="C36" i="13"/>
  <c r="C48" i="13" s="1"/>
  <c r="E98" i="8"/>
  <c r="D20" i="2"/>
  <c r="W31" i="2"/>
  <c r="D24" i="2"/>
  <c r="E25" i="9"/>
  <c r="ES18" i="2"/>
  <c r="C20" i="2"/>
  <c r="C14" i="2"/>
  <c r="AF19" i="2"/>
  <c r="DM22" i="2"/>
  <c r="DR16" i="2"/>
  <c r="DN28" i="2"/>
  <c r="ET31" i="2"/>
  <c r="BY28" i="2"/>
  <c r="C40" i="15"/>
  <c r="DR22" i="2"/>
  <c r="EM19" i="2"/>
  <c r="D41" i="5"/>
  <c r="Z31" i="2"/>
  <c r="F98" i="12"/>
  <c r="E98" i="12"/>
  <c r="CN31" i="2"/>
  <c r="DQ31" i="2"/>
  <c r="AQ33" i="2"/>
  <c r="BD32" i="2"/>
  <c r="BD33" i="2" s="1"/>
  <c r="F25" i="5"/>
  <c r="CT31" i="2"/>
  <c r="C40" i="18"/>
  <c r="C52" i="18" s="1"/>
  <c r="AI31" i="2"/>
  <c r="AC31" i="2"/>
  <c r="CK31" i="2"/>
  <c r="BA18" i="2"/>
  <c r="DN20" i="2"/>
  <c r="DI31" i="2"/>
  <c r="DH32" i="2"/>
  <c r="DH33" i="2" s="1"/>
  <c r="CH15" i="2"/>
  <c r="F4" i="18"/>
  <c r="E4" i="18"/>
  <c r="DR28" i="2"/>
  <c r="E25" i="18"/>
  <c r="E25" i="10"/>
  <c r="C39" i="9"/>
  <c r="E73" i="10"/>
  <c r="C27" i="2"/>
  <c r="H27" i="2"/>
  <c r="EK24" i="2"/>
  <c r="E72" i="14"/>
  <c r="F72" i="14"/>
  <c r="C98" i="14"/>
  <c r="EQ21" i="2"/>
  <c r="ES21" i="2" s="1"/>
  <c r="F81" i="11"/>
  <c r="E81" i="11"/>
  <c r="DN14" i="2"/>
  <c r="DR14" i="2"/>
  <c r="EK16" i="2"/>
  <c r="C100" i="6"/>
  <c r="E72" i="6"/>
  <c r="FB16" i="2"/>
  <c r="EZ31" i="2"/>
  <c r="F73" i="18"/>
  <c r="E73" i="18"/>
  <c r="EK28" i="2"/>
  <c r="EM28" i="2" s="1"/>
  <c r="F25" i="7"/>
  <c r="E25" i="7"/>
  <c r="F72" i="11"/>
  <c r="E72" i="11"/>
  <c r="EK21" i="2"/>
  <c r="EM21" i="2" s="1"/>
  <c r="C98" i="11"/>
  <c r="DC31" i="2"/>
  <c r="DB33" i="2"/>
  <c r="E4" i="12"/>
  <c r="D40" i="12"/>
  <c r="F4" i="12"/>
  <c r="F12" i="9"/>
  <c r="E12" i="9"/>
  <c r="D4" i="9"/>
  <c r="AE31" i="2"/>
  <c r="AE33" i="2" s="1"/>
  <c r="G17" i="2"/>
  <c r="AF17" i="2"/>
  <c r="F4" i="10"/>
  <c r="C40" i="10"/>
  <c r="EP15" i="2"/>
  <c r="F14" i="1"/>
  <c r="EM15" i="2"/>
  <c r="DM15" i="2"/>
  <c r="E4" i="6"/>
  <c r="D41" i="6"/>
  <c r="F4" i="6"/>
  <c r="G14" i="2"/>
  <c r="BM14" i="2"/>
  <c r="BL31" i="2"/>
  <c r="BL33" i="2" s="1"/>
  <c r="F57" i="18"/>
  <c r="E57" i="18"/>
  <c r="C99" i="18"/>
  <c r="EK25" i="2"/>
  <c r="E72" i="15"/>
  <c r="F72" i="15"/>
  <c r="EJ21" i="2"/>
  <c r="DN21" i="2"/>
  <c r="EJ19" i="2"/>
  <c r="DN19" i="2"/>
  <c r="E25" i="11"/>
  <c r="F25" i="11"/>
  <c r="EP20" i="2"/>
  <c r="EO31" i="2"/>
  <c r="EO33" i="2" s="1"/>
  <c r="EM23" i="2"/>
  <c r="EM20" i="2"/>
  <c r="F95" i="13"/>
  <c r="EH31" i="2"/>
  <c r="EH33" i="2" s="1"/>
  <c r="DM19" i="2"/>
  <c r="EJ27" i="2"/>
  <c r="CQ31" i="2"/>
  <c r="DN17" i="2"/>
  <c r="EM17" i="2"/>
  <c r="EL31" i="2"/>
  <c r="EL33" i="2" s="1"/>
  <c r="EU31" i="2"/>
  <c r="EU33" i="2" s="1"/>
  <c r="EV18" i="2"/>
  <c r="BG18" i="2"/>
  <c r="BE31" i="2"/>
  <c r="BE33" i="2" s="1"/>
  <c r="C37" i="1"/>
  <c r="E37" i="1" s="1"/>
  <c r="H37" i="1"/>
  <c r="F4" i="1"/>
  <c r="H5" i="1"/>
  <c r="EJ14" i="2"/>
  <c r="EI31" i="2"/>
  <c r="EI33" i="2" s="1"/>
  <c r="D19" i="2"/>
  <c r="H19" i="2"/>
  <c r="D4" i="7"/>
  <c r="F12" i="7"/>
  <c r="E12" i="7"/>
  <c r="D39" i="17"/>
  <c r="F4" i="17"/>
  <c r="E4" i="17"/>
  <c r="E4" i="14"/>
  <c r="F4" i="14"/>
  <c r="ES19" i="2"/>
  <c r="ER31" i="2"/>
  <c r="ER33" i="2" s="1"/>
  <c r="F103" i="9"/>
  <c r="E103" i="9"/>
  <c r="E76" i="7"/>
  <c r="F76" i="7"/>
  <c r="C97" i="7"/>
  <c r="EN17" i="2"/>
  <c r="EP17" i="2" s="1"/>
  <c r="EY19" i="2"/>
  <c r="EW31" i="2"/>
  <c r="EW33" i="2" s="1"/>
  <c r="F25" i="4"/>
  <c r="E25" i="4"/>
  <c r="F75" i="19"/>
  <c r="EN29" i="2"/>
  <c r="E75" i="19"/>
  <c r="F96" i="19"/>
  <c r="EK26" i="2"/>
  <c r="F71" i="16"/>
  <c r="C97" i="16"/>
  <c r="E71" i="16"/>
  <c r="ES14" i="2"/>
  <c r="E25" i="8"/>
  <c r="F25" i="8"/>
  <c r="F25" i="17"/>
  <c r="E25" i="17"/>
  <c r="G23" i="2"/>
  <c r="BX31" i="2"/>
  <c r="BX33" i="2" s="1"/>
  <c r="D39" i="8"/>
  <c r="F4" i="8"/>
  <c r="E4" i="8"/>
  <c r="D41" i="1"/>
  <c r="H41" i="1"/>
  <c r="G30" i="1"/>
  <c r="E95" i="13"/>
  <c r="F73" i="10"/>
  <c r="C100" i="10"/>
  <c r="E100" i="10" s="1"/>
  <c r="F25" i="18"/>
  <c r="DR20" i="2"/>
  <c r="C39" i="8"/>
  <c r="C51" i="8" s="1"/>
  <c r="D36" i="13"/>
  <c r="F23" i="13"/>
  <c r="E23" i="13"/>
  <c r="CH21" i="2"/>
  <c r="D21" i="2"/>
  <c r="EQ27" i="2"/>
  <c r="DM27" i="2" s="1"/>
  <c r="E16" i="1"/>
  <c r="G14" i="1"/>
  <c r="H16" i="1"/>
  <c r="E4" i="19"/>
  <c r="C38" i="19"/>
  <c r="C49" i="19" s="1"/>
  <c r="F4" i="19"/>
  <c r="H7" i="1"/>
  <c r="F25" i="14"/>
  <c r="E25" i="14"/>
  <c r="CZ31" i="2"/>
  <c r="E38" i="4"/>
  <c r="F38" i="4"/>
  <c r="EP26" i="2"/>
  <c r="DN26" i="2"/>
  <c r="BY25" i="2"/>
  <c r="FB20" i="2"/>
  <c r="FA31" i="2"/>
  <c r="BH32" i="2"/>
  <c r="BH33" i="2" s="1"/>
  <c r="BJ31" i="2"/>
  <c r="F72" i="6"/>
  <c r="F83" i="17"/>
  <c r="DN23" i="2"/>
  <c r="DN18" i="2"/>
  <c r="DR21" i="2"/>
  <c r="CH22" i="2"/>
  <c r="CG31" i="2"/>
  <c r="CG33" i="2" s="1"/>
  <c r="BP32" i="2"/>
  <c r="BP33" i="2" s="1"/>
  <c r="ED31" i="2"/>
  <c r="DN27" i="2"/>
  <c r="DR27" i="2"/>
  <c r="AO31" i="2"/>
  <c r="DP31" i="2"/>
  <c r="DP33" i="2" s="1"/>
  <c r="FC19" i="2" l="1"/>
  <c r="CF33" i="2"/>
  <c r="C49" i="13"/>
  <c r="C52" i="12"/>
  <c r="G51" i="12"/>
  <c r="D53" i="18"/>
  <c r="F51" i="11"/>
  <c r="E10" i="1"/>
  <c r="C52" i="8"/>
  <c r="DQ33" i="2"/>
  <c r="AV33" i="2"/>
  <c r="AU33" i="2"/>
  <c r="BF33" i="2"/>
  <c r="E32" i="1"/>
  <c r="EE33" i="2"/>
  <c r="BT33" i="2"/>
  <c r="ET33" i="2"/>
  <c r="D52" i="15"/>
  <c r="D52" i="11"/>
  <c r="D53" i="10"/>
  <c r="C52" i="9"/>
  <c r="C53" i="9" s="1"/>
  <c r="C54" i="17"/>
  <c r="FC23" i="2"/>
  <c r="DM28" i="2"/>
  <c r="FC28" i="2" s="1"/>
  <c r="F25" i="16"/>
  <c r="E16" i="2"/>
  <c r="FD25" i="2"/>
  <c r="E28" i="2"/>
  <c r="C39" i="16"/>
  <c r="C50" i="16" s="1"/>
  <c r="BS32" i="2"/>
  <c r="BS33" i="2" s="1"/>
  <c r="FC20" i="2"/>
  <c r="C52" i="6"/>
  <c r="BV31" i="2"/>
  <c r="H16" i="2"/>
  <c r="DO14" i="2"/>
  <c r="EG31" i="2"/>
  <c r="DM21" i="2"/>
  <c r="DO21" i="2" s="1"/>
  <c r="FC14" i="2"/>
  <c r="FC22" i="2"/>
  <c r="C51" i="7"/>
  <c r="F100" i="6"/>
  <c r="H15" i="2"/>
  <c r="FD16" i="2"/>
  <c r="E26" i="2"/>
  <c r="H26" i="2"/>
  <c r="H24" i="2"/>
  <c r="E24" i="2"/>
  <c r="D22" i="2"/>
  <c r="E22" i="2" s="1"/>
  <c r="F39" i="11"/>
  <c r="E6" i="1"/>
  <c r="E37" i="4"/>
  <c r="F37" i="4"/>
  <c r="E27" i="2"/>
  <c r="FD20" i="2"/>
  <c r="DO23" i="2"/>
  <c r="E8" i="1"/>
  <c r="FD28" i="2"/>
  <c r="BW33" i="2"/>
  <c r="F40" i="18"/>
  <c r="C4" i="1"/>
  <c r="FC27" i="2"/>
  <c r="D51" i="16"/>
  <c r="H14" i="1"/>
  <c r="AX31" i="2"/>
  <c r="H29" i="2"/>
  <c r="FD24" i="2"/>
  <c r="E29" i="2"/>
  <c r="FD18" i="2"/>
  <c r="E39" i="11"/>
  <c r="E100" i="6"/>
  <c r="E40" i="18"/>
  <c r="C48" i="4"/>
  <c r="E20" i="2"/>
  <c r="DO20" i="2"/>
  <c r="DO22" i="2"/>
  <c r="C51" i="15"/>
  <c r="C52" i="15" s="1"/>
  <c r="F40" i="15"/>
  <c r="E40" i="15"/>
  <c r="D53" i="5"/>
  <c r="E41" i="5"/>
  <c r="F41" i="5"/>
  <c r="E97" i="7"/>
  <c r="FD21" i="2"/>
  <c r="F97" i="7"/>
  <c r="DI32" i="2"/>
  <c r="DI33" i="2" s="1"/>
  <c r="BA31" i="2"/>
  <c r="H30" i="1"/>
  <c r="EQ31" i="2"/>
  <c r="E96" i="19"/>
  <c r="DM17" i="2"/>
  <c r="FC17" i="2" s="1"/>
  <c r="ES27" i="2"/>
  <c r="H21" i="2"/>
  <c r="C21" i="2"/>
  <c r="E21" i="2" s="1"/>
  <c r="F36" i="13"/>
  <c r="D48" i="13"/>
  <c r="E36" i="13"/>
  <c r="H23" i="2"/>
  <c r="D23" i="2"/>
  <c r="F97" i="16"/>
  <c r="E97" i="16"/>
  <c r="E4" i="7"/>
  <c r="D39" i="7"/>
  <c r="F4" i="7"/>
  <c r="H4" i="1"/>
  <c r="F23" i="1"/>
  <c r="F29" i="1" s="1"/>
  <c r="F45" i="1" s="1"/>
  <c r="F98" i="15"/>
  <c r="E98" i="15"/>
  <c r="F99" i="18"/>
  <c r="E99" i="18"/>
  <c r="D17" i="2"/>
  <c r="H17" i="2"/>
  <c r="EZ32" i="2"/>
  <c r="EZ33" i="2" s="1"/>
  <c r="DM16" i="2"/>
  <c r="EM16" i="2"/>
  <c r="EK31" i="2"/>
  <c r="EK33" i="2" s="1"/>
  <c r="E98" i="14"/>
  <c r="F98" i="14"/>
  <c r="F47" i="4"/>
  <c r="E47" i="4"/>
  <c r="D48" i="4"/>
  <c r="BJ32" i="2"/>
  <c r="BJ33" i="2" s="1"/>
  <c r="E38" i="19"/>
  <c r="F38" i="19"/>
  <c r="E41" i="1"/>
  <c r="BY31" i="2"/>
  <c r="EY31" i="2"/>
  <c r="EJ31" i="2"/>
  <c r="BG31" i="2"/>
  <c r="EM25" i="2"/>
  <c r="DM25" i="2"/>
  <c r="DO25" i="2" s="1"/>
  <c r="BM31" i="2"/>
  <c r="E41" i="6"/>
  <c r="F41" i="6"/>
  <c r="D51" i="6"/>
  <c r="E15" i="2"/>
  <c r="FD15" i="2"/>
  <c r="E98" i="11"/>
  <c r="F98" i="11"/>
  <c r="EM24" i="2"/>
  <c r="DM24" i="2"/>
  <c r="DO19" i="2"/>
  <c r="F100" i="10"/>
  <c r="G23" i="1"/>
  <c r="G29" i="1" s="1"/>
  <c r="E5" i="1"/>
  <c r="DO18" i="2"/>
  <c r="EN31" i="2"/>
  <c r="EN33" i="2" s="1"/>
  <c r="C52" i="11"/>
  <c r="E51" i="11"/>
  <c r="FA32" i="2"/>
  <c r="FA33" i="2" s="1"/>
  <c r="FB31" i="2"/>
  <c r="FD26" i="2"/>
  <c r="F39" i="8"/>
  <c r="D51" i="8"/>
  <c r="G51" i="8" s="1"/>
  <c r="E39" i="8"/>
  <c r="DM26" i="2"/>
  <c r="FC26" i="2" s="1"/>
  <c r="EM26" i="2"/>
  <c r="E19" i="2"/>
  <c r="FD19" i="2"/>
  <c r="C18" i="2"/>
  <c r="H18" i="2"/>
  <c r="F31" i="2"/>
  <c r="F33" i="2" s="1"/>
  <c r="EV31" i="2"/>
  <c r="E4" i="9"/>
  <c r="F4" i="9"/>
  <c r="D39" i="9"/>
  <c r="F40" i="12"/>
  <c r="D51" i="12"/>
  <c r="H51" i="12" s="1"/>
  <c r="E40" i="12"/>
  <c r="E100" i="17"/>
  <c r="H25" i="2"/>
  <c r="C25" i="2"/>
  <c r="E25" i="1"/>
  <c r="EP29" i="2"/>
  <c r="DM29" i="2"/>
  <c r="F40" i="14"/>
  <c r="D51" i="14"/>
  <c r="E40" i="14"/>
  <c r="D53" i="17"/>
  <c r="E39" i="17"/>
  <c r="F39" i="17"/>
  <c r="H14" i="2"/>
  <c r="G31" i="2"/>
  <c r="G33" i="2" s="1"/>
  <c r="D14" i="2"/>
  <c r="FC15" i="2"/>
  <c r="DO15" i="2"/>
  <c r="C52" i="10"/>
  <c r="F40" i="10"/>
  <c r="E40" i="10"/>
  <c r="AF31" i="2"/>
  <c r="F100" i="17"/>
  <c r="C52" i="14"/>
  <c r="FD27" i="2"/>
  <c r="DO27" i="2"/>
  <c r="DN31" i="2"/>
  <c r="DN33" i="2" s="1"/>
  <c r="DR31" i="2"/>
  <c r="CH31" i="2"/>
  <c r="E15" i="1" l="1"/>
  <c r="E7" i="1"/>
  <c r="E50" i="16"/>
  <c r="C53" i="18"/>
  <c r="E20" i="1"/>
  <c r="E39" i="1"/>
  <c r="ES31" i="2"/>
  <c r="EQ33" i="2"/>
  <c r="E33" i="1"/>
  <c r="E31" i="1"/>
  <c r="D30" i="1"/>
  <c r="DO28" i="2"/>
  <c r="FE28" i="2"/>
  <c r="F50" i="16"/>
  <c r="C51" i="16"/>
  <c r="F39" i="16"/>
  <c r="E39" i="16"/>
  <c r="FE20" i="2"/>
  <c r="FE19" i="2"/>
  <c r="FD22" i="2"/>
  <c r="FE22" i="2" s="1"/>
  <c r="DO17" i="2"/>
  <c r="D31" i="2"/>
  <c r="D33" i="2" s="1"/>
  <c r="FE27" i="2"/>
  <c r="E52" i="18"/>
  <c r="F52" i="18"/>
  <c r="D52" i="6"/>
  <c r="E51" i="15"/>
  <c r="F51" i="15"/>
  <c r="D54" i="5"/>
  <c r="E53" i="5"/>
  <c r="F53" i="5"/>
  <c r="FE15" i="2"/>
  <c r="DO26" i="2"/>
  <c r="FC21" i="2"/>
  <c r="FE21" i="2" s="1"/>
  <c r="DM31" i="2"/>
  <c r="H31" i="2"/>
  <c r="FC29" i="2"/>
  <c r="FE29" i="2" s="1"/>
  <c r="DO29" i="2"/>
  <c r="F51" i="12"/>
  <c r="E51" i="12"/>
  <c r="D52" i="12"/>
  <c r="FD14" i="2"/>
  <c r="E14" i="2"/>
  <c r="E51" i="14"/>
  <c r="F51" i="14"/>
  <c r="D52" i="14"/>
  <c r="E39" i="9"/>
  <c r="D52" i="9"/>
  <c r="F39" i="9"/>
  <c r="E23" i="2"/>
  <c r="FD23" i="2"/>
  <c r="FE23" i="2" s="1"/>
  <c r="EM31" i="2"/>
  <c r="F39" i="7"/>
  <c r="D50" i="7"/>
  <c r="E39" i="7"/>
  <c r="FD17" i="2"/>
  <c r="FE17" i="2" s="1"/>
  <c r="E17" i="2"/>
  <c r="D49" i="13"/>
  <c r="E48" i="13"/>
  <c r="F48" i="13"/>
  <c r="F51" i="8"/>
  <c r="D52" i="8"/>
  <c r="E51" i="8"/>
  <c r="E51" i="6"/>
  <c r="F51" i="6"/>
  <c r="C53" i="10"/>
  <c r="E52" i="10"/>
  <c r="F52" i="10"/>
  <c r="D54" i="17"/>
  <c r="F53" i="17"/>
  <c r="E53" i="17"/>
  <c r="FC25" i="2"/>
  <c r="FE25" i="2" s="1"/>
  <c r="E25" i="2"/>
  <c r="FC18" i="2"/>
  <c r="FE18" i="2" s="1"/>
  <c r="E18" i="2"/>
  <c r="C31" i="2"/>
  <c r="C33" i="2" s="1"/>
  <c r="H23" i="1"/>
  <c r="DO24" i="2"/>
  <c r="FC24" i="2"/>
  <c r="FE24" i="2" s="1"/>
  <c r="E49" i="19"/>
  <c r="C50" i="19"/>
  <c r="F49" i="19"/>
  <c r="FC16" i="2"/>
  <c r="FE16" i="2" s="1"/>
  <c r="DO16" i="2"/>
  <c r="FE26" i="2"/>
  <c r="EP31" i="2"/>
  <c r="E12" i="1"/>
  <c r="DO31" i="2" l="1"/>
  <c r="DM33" i="2"/>
  <c r="E40" i="1"/>
  <c r="C30" i="1"/>
  <c r="E30" i="1" s="1"/>
  <c r="E31" i="2"/>
  <c r="FE14" i="2"/>
  <c r="FD31" i="2"/>
  <c r="FD33" i="2" s="1"/>
  <c r="D53" i="9"/>
  <c r="F52" i="9"/>
  <c r="E52" i="9"/>
  <c r="E18" i="1"/>
  <c r="D14" i="1"/>
  <c r="D4" i="1"/>
  <c r="E4" i="1" s="1"/>
  <c r="G45" i="1"/>
  <c r="H29" i="1"/>
  <c r="F50" i="7"/>
  <c r="D51" i="7"/>
  <c r="E50" i="7"/>
  <c r="FC31" i="2"/>
  <c r="FC33" i="2" s="1"/>
  <c r="E17" i="1"/>
  <c r="C14" i="1"/>
  <c r="C23" i="1" s="1"/>
  <c r="C29" i="1" s="1"/>
  <c r="G46" i="1" l="1"/>
  <c r="C45" i="1"/>
  <c r="D23" i="1"/>
  <c r="D29" i="1" s="1"/>
  <c r="F46" i="1"/>
  <c r="F47" i="1" s="1"/>
  <c r="E14" i="1"/>
  <c r="FE31" i="2"/>
  <c r="E23" i="1" l="1"/>
  <c r="G47" i="1"/>
  <c r="C46" i="1"/>
  <c r="E29" i="1"/>
  <c r="D45" i="1"/>
  <c r="D46" i="1" s="1"/>
</calcChain>
</file>

<file path=xl/sharedStrings.xml><?xml version="1.0" encoding="utf-8"?>
<sst xmlns="http://schemas.openxmlformats.org/spreadsheetml/2006/main" count="2975" uniqueCount="564">
  <si>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</si>
  <si>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</si>
  <si>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</si>
  <si>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</si>
  <si>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</si>
  <si>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</si>
  <si>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</si>
  <si>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</si>
  <si>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</si>
  <si>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</si>
  <si>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</si>
  <si>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</si>
  <si>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</si>
  <si>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</si>
  <si>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</si>
  <si>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</si>
  <si>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</si>
  <si>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</si>
  <si>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</si>
  <si>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</si>
  <si>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</si>
  <si>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</si>
  <si>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</si>
  <si>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</si>
  <si>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</si>
  <si>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</si>
  <si>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</si>
  <si>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</si>
  <si>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</si>
  <si>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</si>
  <si>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</si>
  <si>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</si>
  <si>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</si>
  <si>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</si>
  <si>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</si>
  <si>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</si>
  <si>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</si>
  <si>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</si>
  <si>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</si>
  <si>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</si>
  <si>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</si>
  <si>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</si>
  <si>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</si>
  <si>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</si>
  <si>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</si>
  <si>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</si>
  <si>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</si>
  <si>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</si>
  <si>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</si>
  <si>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</si>
  <si>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</si>
  <si>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</si>
  <si>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</si>
  <si>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</si>
  <si>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</si>
  <si>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</si>
  <si>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</si>
  <si>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</si>
  <si>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</si>
  <si>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</si>
  <si>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</si>
  <si>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</si>
  <si>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</si>
  <si>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</si>
  <si>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</si>
  <si>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</si>
  <si>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</si>
  <si>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</si>
  <si>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</si>
  <si>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</si>
  <si>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</si>
  <si>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</si>
  <si>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</si>
  <si>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</si>
  <si>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</si>
  <si>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</si>
  <si>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</si>
  <si>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</si>
  <si>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</si>
  <si>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</si>
  <si>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</si>
  <si>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</si>
  <si>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</si>
  <si>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</si>
  <si>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</si>
  <si>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</si>
  <si>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</si>
  <si>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</si>
  <si>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</si>
  <si>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</si>
  <si>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</si>
  <si>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</si>
  <si>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</si>
  <si>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</si>
  <si>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</si>
  <si>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</si>
  <si>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</si>
  <si>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</si>
  <si>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</si>
  <si>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</si>
  <si>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</si>
  <si>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</si>
  <si>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</si>
  <si>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</si>
  <si>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</si>
  <si>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</si>
  <si>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</si>
  <si>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</si>
  <si>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</si>
  <si>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</si>
  <si>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</si>
  <si>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</si>
  <si>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</si>
  <si>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</si>
  <si>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</si>
  <si>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</si>
  <si>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</si>
  <si>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</si>
  <si>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</si>
  <si>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</si>
  <si>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</si>
  <si>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</si>
  <si>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</si>
  <si>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</si>
  <si>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</si>
  <si>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</si>
  <si>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</si>
  <si>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</si>
  <si>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</si>
  <si>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</si>
  <si>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</si>
  <si>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</si>
  <si>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</si>
  <si>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</si>
  <si>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</si>
  <si>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</si>
  <si>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</si>
  <si>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</si>
  <si>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</si>
  <si>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</si>
  <si>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</si>
  <si>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</si>
  <si>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</si>
  <si>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</si>
  <si>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</si>
  <si>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</si>
  <si>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</si>
  <si>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</si>
  <si>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</si>
  <si>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</si>
  <si>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</si>
  <si>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</si>
  <si>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</si>
  <si>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</si>
  <si>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</si>
  <si>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</si>
  <si>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</si>
  <si>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</si>
  <si>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</si>
  <si>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</si>
  <si>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</si>
  <si>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</si>
  <si>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</si>
  <si>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</si>
  <si>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</si>
  <si>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</si>
  <si>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</si>
  <si>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</si>
  <si>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</si>
  <si>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</si>
  <si>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</si>
  <si>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</si>
  <si>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</si>
  <si>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</si>
  <si>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</si>
  <si>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</si>
  <si>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</si>
  <si>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</si>
  <si>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</si>
  <si>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</si>
  <si>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</si>
  <si>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</si>
  <si>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</si>
  <si>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</si>
  <si>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</si>
  <si>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</si>
  <si>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</si>
  <si>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</si>
  <si>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</si>
  <si>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</si>
  <si>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</si>
  <si>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</si>
  <si>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</si>
  <si>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</si>
  <si>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</si>
  <si>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</si>
  <si>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</si>
  <si>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</si>
  <si>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</si>
  <si>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</si>
  <si>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</si>
  <si>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</si>
  <si>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</si>
  <si>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</si>
  <si>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</si>
  <si>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</si>
  <si>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</si>
  <si>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</si>
  <si>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</si>
  <si>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</si>
  <si>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</si>
  <si>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</si>
  <si>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</si>
  <si>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</si>
  <si>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</si>
  <si>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</si>
  <si>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</si>
  <si>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</si>
  <si>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</si>
  <si>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</si>
  <si>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</si>
  <si>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</si>
  <si>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</si>
  <si>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</si>
  <si>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</si>
  <si>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</si>
  <si>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</si>
  <si>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</si>
  <si>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</si>
  <si>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</si>
  <si>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</si>
  <si>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</si>
  <si>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</si>
  <si>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</si>
  <si>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</si>
  <si>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</si>
  <si>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</si>
  <si>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</si>
  <si>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</si>
  <si>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</si>
  <si>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</si>
  <si>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</si>
  <si>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</si>
  <si>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</si>
  <si>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</si>
  <si>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</si>
  <si>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</si>
  <si>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</si>
  <si>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</si>
  <si>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</si>
  <si>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</si>
  <si>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</si>
  <si>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</si>
  <si>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</si>
  <si>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</si>
  <si>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</si>
  <si>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</si>
  <si>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Другие вопросы в области жилищно-коммунального хозяйства</t>
  </si>
  <si>
    <t xml:space="preserve">Акцизы 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</si>
  <si>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</si>
  <si>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</si>
  <si>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</si>
  <si>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</si>
  <si>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</si>
  <si>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</si>
  <si>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</si>
  <si>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</si>
  <si>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</si>
  <si>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</si>
  <si>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</si>
  <si>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</si>
  <si>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</si>
  <si>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</si>
  <si>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</si>
  <si>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</si>
  <si>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</si>
  <si>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</si>
  <si>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</si>
  <si>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</si>
  <si>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</si>
  <si>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</si>
  <si>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</si>
  <si>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</si>
  <si>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</si>
  <si>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</si>
  <si>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</si>
  <si>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</si>
  <si>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</si>
  <si>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</si>
  <si>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</si>
  <si>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</si>
  <si>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</si>
  <si>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</si>
  <si>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</si>
  <si>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</si>
  <si>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</si>
  <si>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</si>
  <si>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</si>
  <si>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</si>
  <si>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</si>
  <si>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</si>
  <si>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</si>
  <si>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</si>
  <si>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</si>
  <si>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</si>
  <si>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</si>
  <si>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</si>
  <si>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</si>
  <si>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% исполнения к плану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</si>
  <si>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</si>
  <si>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</si>
  <si>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</si>
  <si>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</si>
  <si>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</si>
  <si>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</si>
  <si>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</si>
  <si>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</si>
  <si>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</si>
  <si>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</si>
  <si>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</si>
  <si>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</si>
  <si>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</si>
  <si>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</si>
  <si>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</si>
  <si>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</si>
  <si>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</si>
  <si>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</si>
  <si>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</si>
  <si>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</si>
  <si>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</si>
  <si>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</si>
  <si>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</si>
  <si>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</si>
  <si>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</si>
  <si>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</si>
  <si>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</si>
  <si>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</si>
  <si>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</si>
  <si>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</si>
  <si>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</si>
  <si>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</si>
  <si>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</si>
  <si>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</si>
  <si>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</si>
  <si>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</si>
  <si>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</si>
  <si>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</si>
  <si>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</si>
  <si>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</si>
  <si>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</si>
  <si>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</si>
  <si>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</si>
  <si>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</si>
  <si>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</si>
  <si>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</si>
  <si>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</si>
  <si>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</si>
  <si>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</si>
  <si>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</si>
  <si>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</si>
  <si>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</si>
  <si>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</si>
  <si>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</si>
  <si>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</si>
  <si>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</si>
  <si>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</si>
  <si>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</si>
  <si>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</si>
  <si>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</si>
  <si>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</si>
  <si>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</si>
  <si>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</si>
  <si>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</si>
  <si>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</si>
  <si>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</si>
  <si>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</si>
  <si>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</si>
  <si>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</si>
  <si>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</si>
  <si>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</si>
  <si>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</si>
  <si>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Другие вопросы </t>
  </si>
  <si>
    <t>Доходы от эксплуатации имущества</t>
  </si>
  <si>
    <t>Водное хозяйство</t>
  </si>
  <si>
    <t>Другие вопросы в облости национальной безопасности</t>
  </si>
  <si>
    <t>Другие вопросы</t>
  </si>
  <si>
    <t>Другие вопросы в области национальной безоапсности</t>
  </si>
  <si>
    <t>0401</t>
  </si>
  <si>
    <t>Общеэкономические вопросы</t>
  </si>
  <si>
    <t>Доходы от реализации имущества                                          000 114 02014100000 420</t>
  </si>
  <si>
    <t>Штрафы,неустойки,пени,уплаченные в случае просрочки исполнения поставщикам обязательств, предусмотренных муниципальным контрактам, заключенным муниципальным органом,казенным учреждением сельского поселения</t>
  </si>
  <si>
    <t>Упрощенная система налогооблажения</t>
  </si>
  <si>
    <t>Доходы от д.в. (штрафов),поступ в счет погашения задолж., образ до 1 января 2020 года</t>
  </si>
  <si>
    <t>Платежи, уплачиваемые в целях возмещения вреда</t>
  </si>
  <si>
    <t>назначено на 2022 г.</t>
  </si>
  <si>
    <t xml:space="preserve">Доходы, поступившие в порядке возмещения расходов, понесенных в связи с эксплуат.имущества с/п </t>
  </si>
  <si>
    <t>Доходы бюджетов муниц.районов от возврата оргнизациями остатков субсидий прошлых лет</t>
  </si>
  <si>
    <t>Доходы, поступ.в порядке возмещ.расходов, понесенных в связи с эксплуат.имущ.</t>
  </si>
  <si>
    <t>Доходы от компенсации затрат государства</t>
  </si>
  <si>
    <t xml:space="preserve">  Доходы от компенсации затрат государства</t>
  </si>
  <si>
    <t>Штрафы,неустойки,пени,уплаченные в случае просрочки исполнения обязательств</t>
  </si>
  <si>
    <t>Возврат излишне уплаченных сумм</t>
  </si>
  <si>
    <t>Штрафы,неустойки,пени</t>
  </si>
  <si>
    <t>Штрафы ,неустойки, пени</t>
  </si>
  <si>
    <t>Штрафы, неустойки, пени, уплвченные в случае просрочки исполнения поставщиком</t>
  </si>
  <si>
    <t>Инициативные платежи, зачисляемые в бюджеты сельских поселений</t>
  </si>
  <si>
    <t>Инициативные платежи</t>
  </si>
  <si>
    <t>Плата за соглашениям об установлениисервитутав отнош.зем.участ.</t>
  </si>
  <si>
    <t xml:space="preserve">                     Анализ исполнения бюджета Александровского сельского поселения на 01.01.2023 г.</t>
  </si>
  <si>
    <t>исполнено на 01.01.2023 г.</t>
  </si>
  <si>
    <t xml:space="preserve">                     Анализ исполнения бюджета Ярославского сельского поселения на 01.01.2023 г.</t>
  </si>
  <si>
    <t xml:space="preserve">                     Анализ исполнения бюджета Ярабайкасинского сельского поселения на 01.01.2023 г.</t>
  </si>
  <si>
    <t xml:space="preserve">                     Анализ исполнения бюджета Юськасинского сельского поселения на 01.01.2023 г.</t>
  </si>
  <si>
    <t xml:space="preserve">                     Анализ исполнения бюджета Юнгинского сельского поселения на 01.01.2023 г.</t>
  </si>
  <si>
    <t xml:space="preserve">                     Анализ исполнения бюджета Шатьмапосинского сельского поселения на 01.01.2023 г.</t>
  </si>
  <si>
    <t xml:space="preserve">                     Анализ исполнения бюджета Чуманкасинского сельского поселения на 01.01.2023 г.</t>
  </si>
  <si>
    <t xml:space="preserve">                     Анализ исполнения бюджета Хорнойского сельского поселения на 01.01.2023 г.</t>
  </si>
  <si>
    <t xml:space="preserve">                     Анализ исполнения бюджета Тораевского сельского поселения на 01.01.2023 г.</t>
  </si>
  <si>
    <t xml:space="preserve">                     Анализ исполнения бюджета Сятракасинского сельского поселения на 01.01.2023 г.</t>
  </si>
  <si>
    <t xml:space="preserve">                     Анализ исполнения бюджета Орининского сельского поселения на 01.01.2023 г.</t>
  </si>
  <si>
    <t xml:space="preserve">                     Анализ исполнения бюджета Москакасинского сельского поселения на 01.01.2023 г.</t>
  </si>
  <si>
    <t xml:space="preserve">                     Анализ исполнения бюджета Моргаушского сельского поселения на 01.01.2023 г.</t>
  </si>
  <si>
    <t xml:space="preserve">                     Анализ исполнения бюджета Кадикасинского сельского поселения на 01.01.2023 г.</t>
  </si>
  <si>
    <t xml:space="preserve">                     Анализ исполнения бюджета Ильинского сельского поселения на 01.01.2023 г.</t>
  </si>
  <si>
    <t xml:space="preserve">                     Анализ исполнения бюджета Большесундырского сельского поселения на 01.01.2023 г.</t>
  </si>
  <si>
    <t>об исполнении бюджетов поселений  Моргаушского района  на 1 января 2023 г.</t>
  </si>
  <si>
    <t>Штрафы, неустойки,пени,уплаченные в случае просроки исполнения поставщиком</t>
  </si>
  <si>
    <t>0705</t>
  </si>
  <si>
    <t xml:space="preserve">Профессиональная подготовка, переподготовка и повышение квалификации </t>
  </si>
  <si>
    <t>Прочие налоги и сборы (по отм.местн. нал. и сборам )</t>
  </si>
  <si>
    <t xml:space="preserve">администрации Моргаушского муниципального округа </t>
  </si>
  <si>
    <t xml:space="preserve">                                                Ананьева Р.И.</t>
  </si>
  <si>
    <t>исполнено на 01.02.2023 г.</t>
  </si>
  <si>
    <t>Доходы, получаемые в виде арендной платы за земли после разграничения госуд.собственности на землю</t>
  </si>
  <si>
    <t>Административные штрафы, установленные КРФ об административных правонарушений</t>
  </si>
  <si>
    <t>Штафы, неустойки, пени, уплаченные в соотв с законом или договорам в случае неисполнения или ненадлежащего исполн.обязатель.</t>
  </si>
  <si>
    <t>0605</t>
  </si>
  <si>
    <t>Другие вопросы в области охраны окружающей среды</t>
  </si>
  <si>
    <t>Анализ исполнения консолидированного бюджета Моргаушского муниципального округа на 01.02.2023 г.</t>
  </si>
  <si>
    <t>план на 2023 г.</t>
  </si>
  <si>
    <t xml:space="preserve">                                                                                    Сравнительный анализ исполнения бюджета</t>
  </si>
  <si>
    <t>КБК</t>
  </si>
  <si>
    <t>Раздел, подраздел</t>
  </si>
  <si>
    <t>РАСХОДЫ</t>
  </si>
  <si>
    <t>Зам главы -начальник финансового отдела</t>
  </si>
  <si>
    <t>Государственная пошлина за государственную регистрацию, а также за совершение прочих юридически значимых действий</t>
  </si>
  <si>
    <t>план (назначено) на год</t>
  </si>
  <si>
    <t>Плата по соглашениям об установл.сервитута в отношении земельных участков, наход-ся в госуд. или мун. собст.</t>
  </si>
  <si>
    <t>% исполнения к уровню прошлого года</t>
  </si>
  <si>
    <t>Земельный налог,в том числе:</t>
  </si>
  <si>
    <t>Дорожное хозяйство: в том числе</t>
  </si>
  <si>
    <t>Капитальный ремонт источников водоснабжения (водонапорных башен и водозаборных скважин) в населенных пунктах</t>
  </si>
  <si>
    <t>Коммунальное хозяйство: в том числе</t>
  </si>
  <si>
    <t>Обеспечение мероприятий по капитальному ремонту многоквартирных домов, находящихся в муниципальной собственности</t>
  </si>
  <si>
    <t>A21</t>
  </si>
  <si>
    <t>A11</t>
  </si>
  <si>
    <t>A62</t>
  </si>
  <si>
    <t>Ч21</t>
  </si>
  <si>
    <t>A12</t>
  </si>
  <si>
    <t>A13</t>
  </si>
  <si>
    <t>транспортный налог с организаций</t>
  </si>
  <si>
    <t>транспортный налог с физ.лиц</t>
  </si>
  <si>
    <t>Транспортный налог: в том числе</t>
  </si>
  <si>
    <t>земельный налог с физ.лиц</t>
  </si>
  <si>
    <t>Платежи в целях возмещения убытков, причиненных уклонением от заключения мун.контракта</t>
  </si>
  <si>
    <t>A51</t>
  </si>
  <si>
    <t>Ч36</t>
  </si>
  <si>
    <t>Релизация инициативных проектов</t>
  </si>
  <si>
    <t>Благоустройство: в том числе</t>
  </si>
  <si>
    <t>Жилищное хозяйство: в том числе</t>
  </si>
  <si>
    <t>Развитие водоснабжения в сельской местности</t>
  </si>
  <si>
    <t>Мероприятия, направленные на развитие и модернизацию объектов коммунальной инфраструктуры</t>
  </si>
  <si>
    <t>Уличное освещение</t>
  </si>
  <si>
    <t>Реализация мероприятий по благоустройству дворовых территорий и тротуаров</t>
  </si>
  <si>
    <t xml:space="preserve">Реализация мероприятий по благоустройству территории </t>
  </si>
  <si>
    <t>Благоустройство дворовых и общественных территорий" муниципальной программы "Формирование современной городской среды на территории Чувашской Республики":</t>
  </si>
  <si>
    <t>Поддержка региональных проектов в области обращения с отходами и ликвидации накопленного экологического ущерба</t>
  </si>
  <si>
    <t>Осуществление дорожной деятельности, кроме деятельности по строительству, в отношении автомобильных дорог местного значения вне границ населенных пунктов в границах муниципального района или муниципального округа</t>
  </si>
  <si>
    <t>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</si>
  <si>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</si>
  <si>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Капитальный ремонт и ремонт автомобильных дорог общего пользования местного значения в границах населенных пунктов поселения</t>
  </si>
  <si>
    <t>Содержание автомобильных дорог общего пользования местного значения в границах населенных пунктов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</si>
  <si>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</si>
  <si>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</si>
  <si>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Безопасные и качественные автомобильные дороги" муниципальной программы "Развитие транспортной системы ":</t>
  </si>
  <si>
    <t xml:space="preserve">Реализация программ формирования современной городской среды </t>
  </si>
  <si>
    <t>Охрана семьи и детства в том числе:</t>
  </si>
  <si>
    <t>Обеспечение жильем молодых семей</t>
  </si>
  <si>
    <t xml:space="preserve">Обеспечение жилыми помещениями детей-сирот </t>
  </si>
  <si>
    <t xml:space="preserve">Обеспечение жилыми помещениями многодетных семей, имеющих пять </t>
  </si>
  <si>
    <t>0603</t>
  </si>
  <si>
    <t>Обеспечение отдыха и оздоровления детей, в том числе детей, находящихся в трудной жизненной ситуации</t>
  </si>
  <si>
    <t>Организация льготного питания для отдельных категорий учащихся в муниципальных общеобразовательных организациях</t>
  </si>
  <si>
    <t>Организация временного трудоустройства несовершеннолетних граждан в возрасте от 14 до 18 лет в свободное от учебы время</t>
  </si>
  <si>
    <t>Персонифицированное финансирование дополнительного образования детей</t>
  </si>
  <si>
    <t>A4</t>
  </si>
  <si>
    <t>Сопровождение и информационное наполнение автоматизированной информационной системы управления и распоряжения муниципальным имуществом</t>
  </si>
  <si>
    <t>Обеспечение реализации полномочий по техническому учету, технической инвентаризации и определению кадастровой стоимости объектов недвижимости, а также мониторингу и обработке данных рынка недвижимости</t>
  </si>
  <si>
    <t>Проведение землеустроительных (кадастровых) работ по земельным участкам, находящимся в собственности муниципального образования, и внесение сведений в кадастр недвижимости</t>
  </si>
  <si>
    <t>Ч12</t>
  </si>
  <si>
    <t>Организация и проведение конкурсов среди субъектов малого и среднего предпринимательства</t>
  </si>
  <si>
    <t>А4</t>
  </si>
  <si>
    <t>Проведение комплексных кадастровых работ на территории Чувашской Республики</t>
  </si>
  <si>
    <t>Реализация комплекса мероприятий по борьбе с распространением борщевика Сосновского на территории Чувашской Республики</t>
  </si>
  <si>
    <t>Подготовка проектов межевания земельных участков и на проведение кадастровых работ</t>
  </si>
  <si>
    <t>Ц9</t>
  </si>
  <si>
    <t>Капитальный и текущий ремонт объектов водоснабжения (водозаборных сооружений , водопроводов и др.)</t>
  </si>
  <si>
    <t>Ч23</t>
  </si>
  <si>
    <t>Ц71</t>
  </si>
  <si>
    <t>Ц76</t>
  </si>
  <si>
    <t>A61</t>
  </si>
  <si>
    <t>Улучшение жилищных условий граждан, проживающих на сельских территориях</t>
  </si>
  <si>
    <t>A22</t>
  </si>
  <si>
    <t>Ц51</t>
  </si>
  <si>
    <t>Обеспечение деятельности муниципальных физкультурно-оздоровительных центров</t>
  </si>
  <si>
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 (местные субсидии на иные цели)</t>
  </si>
  <si>
    <t>Обеспечение безопасности участия детей в дорожном движении (местные субсидии на иные цели)</t>
  </si>
  <si>
    <t>Обеспечение деятельности муниципальных общеобразовательных организаций (местные субсидии на иные цели)</t>
  </si>
  <si>
    <t>Организация льготного питания для отдельных категорий учащихся в муниципальных общеобразовательных организациях (местные субсидии на иные цели)</t>
  </si>
  <si>
    <t>Ц41</t>
  </si>
  <si>
    <t>Обеспечение деятельности муниципальных учреждений культурно-досугового типа и народного творчества (местные субсидии на иные цели)</t>
  </si>
  <si>
    <t>Обеспечение деятельности муниципальных музеев (местные субсидии на иные цели)</t>
  </si>
  <si>
    <t>Обеспечение деятельности муниципальных библиотек (местные субсидии на иные цели)</t>
  </si>
  <si>
    <t>Обеспечение деятельности муниципальных организаций дополнительного образования</t>
  </si>
  <si>
    <t>Обеспечение деятельности муниципальных детско-юношеских спортивных школ</t>
  </si>
  <si>
    <t>Ц52</t>
  </si>
  <si>
    <t>Ч2</t>
  </si>
  <si>
    <t>Ц34</t>
  </si>
  <si>
    <t>ДОХОДЫ</t>
  </si>
  <si>
    <t>Обслуживание внутреннего государственного и муниципального долга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</si>
  <si>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(субсидии на иные цели)</t>
  </si>
  <si>
    <t>Организация и проведение официальных физических мероприятий</t>
  </si>
  <si>
    <t>Осуществление государственных полномочий Чувашской Республики по организации мероприятий при осуществлении деятельности по обращению с животными без владельцев</t>
  </si>
  <si>
    <t>Доходы от продажи земельных участков, госуд.соб.на которые не разграничена</t>
  </si>
  <si>
    <t>Доходы от продажи земельных участков, госуд.соб.на которые разграничена</t>
  </si>
  <si>
    <t>А13</t>
  </si>
  <si>
    <r>
      <t>Другие вопросы в области национальной экономики</t>
    </r>
    <r>
      <rPr>
        <i/>
        <sz val="18"/>
        <rFont val="Times New Roman"/>
        <family val="1"/>
        <charset val="204"/>
      </rPr>
      <t xml:space="preserve"> в том числе:</t>
    </r>
  </si>
  <si>
    <t>Капитальный и текущий ремонт инженерно-коммунальных сетей муниципальных образований</t>
  </si>
  <si>
    <t>Капитальный и текущий ремонт, модернизация котельных с использованием энергоэффективного оборудования, замена неэффективных отопительных котлов в индивидуальных системах отопления зданий, строений, сооружений</t>
  </si>
  <si>
    <t>Охрана объектов растительного и животного мира и среды их обитания</t>
  </si>
  <si>
    <t>Осуществление строительных и ремонтных работ в целях обеспечения благоустройства территории</t>
  </si>
  <si>
    <t>Ч32</t>
  </si>
  <si>
    <t>Организация экологических мероприятий</t>
  </si>
  <si>
    <t>Обеспечение контейнерами и бункерами для твердых коммунальных отходов</t>
  </si>
  <si>
    <t>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образовательных(субсидии на иные цели)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</si>
  <si>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организаций(субсидии на иные цели)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</si>
  <si>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</si>
  <si>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Организация отдыха детей в загородных, пришкольных и других лагерях</t>
  </si>
  <si>
    <t>Ц72</t>
  </si>
  <si>
    <t>Обустройство и восстановление воинских захоронений</t>
  </si>
  <si>
    <t>Капитальный ремонт муниципальных учреждений культуры клубного типа</t>
  </si>
  <si>
    <t>Ц46</t>
  </si>
  <si>
    <t xml:space="preserve">                                               2024 год</t>
  </si>
  <si>
    <t xml:space="preserve">                      2023 год</t>
  </si>
  <si>
    <t>земельный налог с организаций</t>
  </si>
  <si>
    <t xml:space="preserve">Мобилизационная и вневойсковая подготовка  </t>
  </si>
  <si>
    <t>А21</t>
  </si>
  <si>
    <t>Обеспечение мероприятий по переселению граждан из аварийного и ветхого жилищного фонда</t>
  </si>
  <si>
    <t>Капитательный ремонт муниципальных образовательных организаций</t>
  </si>
  <si>
    <t>Обеспечение деятельности детских дошкольных образовательных организаций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</si>
  <si>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</si>
  <si>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исполнено на 01.07.2024 г.</t>
  </si>
  <si>
    <t>исполнено на 01.07.2023г.</t>
  </si>
  <si>
    <t xml:space="preserve">                                                                                Моргаушского муниципального округа на 01.07.2024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</si>
</sst>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0.000000"/>
    <numFmt numFmtId="174" formatCode="0.0000"/>
    <numFmt numFmtId="175" formatCode="_(* #,##0.0000_);_(* \(#,##0.0000\);_(* &quot;-&quot;??_);_(@_)"/>
    <numFmt numFmtId="176" formatCode="_(* #,##0.00000_);_(* \(#,##0.00000\);_(* &quot;-&quot;??_);_(@_)"/>
    <numFmt numFmtId="177" formatCode="0.0000000"/>
    <numFmt numFmtId="178" formatCode="_(* #,##0_);_(* \(#,##0\);_(* &quot;-&quot;??_);_(@_)"/>
    <numFmt numFmtId="179" formatCode="#,##0.000000"/>
    <numFmt numFmtId="180" formatCode="_-* #,##0.0000000_р_._-;\-* #,##0.0000000_р_._-;_-* &quot;-&quot;?????_р_._-;_-@_-"/>
    <numFmt numFmtId="181" formatCode="#,##0.00000000"/>
    <numFmt numFmtId="182" formatCode="_(* #,##0.000000_);_(* \(#,##0.000000\);_(* &quot;-&quot;??_);_(@_)"/>
    <numFmt numFmtId="183" formatCode="0.000"/>
    <numFmt numFmtId="184" formatCode="_(* #,##0.000_);_(* \(#,##0.000\);_(* &quot;-&quot;??_);_(@_)"/>
    <numFmt numFmtId="185" formatCode="_-* #,##0.00000\ _₽_-;\-* #,##0.00000\ _₽_-;_-* &quot;-&quot;?????\ _₽_-;_-@_-"/>
    <numFmt numFmtId="186" formatCode="#,##0.0000"/>
  </numFmts>
  <fonts count="55" x14ac:knownFonts="1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4"/>
      <color indexed="8"/>
      <name val="Arial Cyr"/>
      <charset val="204"/>
    </font>
    <font>
      <b/>
      <sz val="14"/>
      <color indexed="8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4"/>
      <color indexed="8"/>
      <name val="Arial Cyr"/>
      <family val="2"/>
      <charset val="204"/>
    </font>
    <font>
      <sz val="14"/>
      <name val="TimesET"/>
    </font>
    <font>
      <sz val="14"/>
      <name val="TimesET"/>
      <charset val="204"/>
    </font>
    <font>
      <sz val="14"/>
      <color indexed="8"/>
      <name val="TimesET"/>
    </font>
    <font>
      <b/>
      <sz val="14"/>
      <name val="TimesET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6"/>
      <name val="Times New Roman Cyr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</font>
    <font>
      <b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20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8"/>
      <name val="Times New Roman"/>
      <family val="1"/>
      <charset val="204"/>
    </font>
    <font>
      <i/>
      <sz val="1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601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0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7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2" fillId="0" borderId="0" xfId="9" applyFont="1"/>
    <xf numFmtId="0" fontId="13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5" fontId="7" fillId="0" borderId="0" xfId="8" applyNumberFormat="1" applyFont="1"/>
    <xf numFmtId="175" fontId="5" fillId="0" borderId="0" xfId="9" applyNumberFormat="1" applyFont="1" applyAlignment="1">
      <alignment horizontal="center"/>
    </xf>
    <xf numFmtId="176" fontId="5" fillId="0" borderId="0" xfId="8" applyNumberFormat="1" applyFont="1"/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0" fontId="5" fillId="0" borderId="0" xfId="8" applyNumberFormat="1" applyFont="1"/>
    <xf numFmtId="174" fontId="3" fillId="0" borderId="0" xfId="9" applyNumberFormat="1" applyFont="1"/>
    <xf numFmtId="175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76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3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7" fontId="5" fillId="0" borderId="0" xfId="9" applyNumberFormat="1" applyFont="1"/>
    <xf numFmtId="0" fontId="15" fillId="3" borderId="0" xfId="0" applyFont="1" applyFill="1"/>
    <xf numFmtId="0" fontId="15" fillId="0" borderId="0" xfId="0" applyFont="1" applyFill="1"/>
    <xf numFmtId="0" fontId="15" fillId="3" borderId="0" xfId="0" applyFont="1" applyFill="1" applyAlignment="1">
      <alignment horizontal="center"/>
    </xf>
    <xf numFmtId="0" fontId="15" fillId="3" borderId="0" xfId="0" applyFont="1" applyFill="1" applyAlignment="1"/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 applyProtection="1">
      <alignment vertical="center" wrapText="1"/>
      <protection locked="0"/>
    </xf>
    <xf numFmtId="0" fontId="17" fillId="3" borderId="0" xfId="0" applyFont="1" applyFill="1"/>
    <xf numFmtId="0" fontId="17" fillId="3" borderId="0" xfId="0" applyFont="1" applyFill="1" applyBorder="1" applyAlignment="1">
      <alignment vertical="center" wrapText="1"/>
    </xf>
    <xf numFmtId="168" fontId="17" fillId="3" borderId="0" xfId="0" applyNumberFormat="1" applyFont="1" applyFill="1" applyBorder="1"/>
    <xf numFmtId="172" fontId="17" fillId="3" borderId="0" xfId="0" applyNumberFormat="1" applyFont="1" applyFill="1"/>
    <xf numFmtId="0" fontId="17" fillId="4" borderId="0" xfId="0" applyFont="1" applyFill="1"/>
    <xf numFmtId="0" fontId="17" fillId="3" borderId="0" xfId="0" applyFont="1" applyFill="1" applyAlignment="1"/>
    <xf numFmtId="4" fontId="17" fillId="3" borderId="0" xfId="0" applyNumberFormat="1" applyFont="1" applyFill="1"/>
    <xf numFmtId="172" fontId="15" fillId="3" borderId="0" xfId="0" applyNumberFormat="1" applyFont="1" applyFill="1"/>
    <xf numFmtId="181" fontId="15" fillId="3" borderId="0" xfId="0" applyNumberFormat="1" applyFont="1" applyFill="1"/>
    <xf numFmtId="179" fontId="15" fillId="3" borderId="0" xfId="0" applyNumberFormat="1" applyFont="1" applyFill="1"/>
    <xf numFmtId="168" fontId="17" fillId="5" borderId="0" xfId="0" applyNumberFormat="1" applyFont="1" applyFill="1" applyBorder="1"/>
    <xf numFmtId="172" fontId="17" fillId="5" borderId="0" xfId="0" applyNumberFormat="1" applyFont="1" applyFill="1"/>
    <xf numFmtId="0" fontId="17" fillId="5" borderId="0" xfId="0" applyFont="1" applyFill="1"/>
    <xf numFmtId="178" fontId="5" fillId="0" borderId="1" xfId="6" applyNumberFormat="1" applyFont="1" applyBorder="1" applyAlignment="1">
      <alignment horizontal="right" vertical="center"/>
    </xf>
    <xf numFmtId="178" fontId="5" fillId="0" borderId="1" xfId="9" applyNumberFormat="1" applyFont="1" applyBorder="1" applyAlignment="1">
      <alignment horizontal="right" vertical="center"/>
    </xf>
    <xf numFmtId="178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6" fontId="5" fillId="0" borderId="0" xfId="9" applyNumberFormat="1" applyFont="1" applyFill="1"/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72" fontId="3" fillId="0" borderId="0" xfId="9" applyNumberFormat="1" applyFont="1"/>
    <xf numFmtId="166" fontId="18" fillId="0" borderId="1" xfId="0" applyNumberFormat="1" applyFont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166" fontId="18" fillId="3" borderId="1" xfId="0" applyNumberFormat="1" applyFont="1" applyFill="1" applyBorder="1" applyAlignment="1">
      <alignment horizontal="center" vertical="center" wrapText="1"/>
    </xf>
    <xf numFmtId="166" fontId="18" fillId="6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166" fontId="18" fillId="5" borderId="1" xfId="0" applyNumberFormat="1" applyFont="1" applyFill="1" applyBorder="1" applyAlignment="1">
      <alignment horizontal="center" vertical="center" wrapText="1"/>
    </xf>
    <xf numFmtId="166" fontId="19" fillId="6" borderId="1" xfId="0" applyNumberFormat="1" applyFont="1" applyFill="1" applyBorder="1" applyAlignment="1">
      <alignment horizontal="center" vertical="center" wrapText="1"/>
    </xf>
    <xf numFmtId="167" fontId="19" fillId="3" borderId="1" xfId="0" applyNumberFormat="1" applyFont="1" applyFill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7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76" fontId="5" fillId="0" borderId="1" xfId="11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8" fontId="5" fillId="5" borderId="1" xfId="6" applyNumberFormat="1" applyFont="1" applyFill="1" applyBorder="1" applyAlignment="1">
      <alignment horizontal="right" vertical="center"/>
    </xf>
    <xf numFmtId="178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22" fillId="0" borderId="1" xfId="6" applyNumberFormat="1" applyFont="1" applyBorder="1" applyAlignment="1">
      <alignment horizontal="right"/>
    </xf>
    <xf numFmtId="0" fontId="23" fillId="0" borderId="1" xfId="11" applyFont="1" applyBorder="1" applyAlignment="1">
      <alignment horizontal="center"/>
    </xf>
    <xf numFmtId="0" fontId="23" fillId="0" borderId="1" xfId="11" applyFont="1" applyBorder="1" applyAlignment="1"/>
    <xf numFmtId="172" fontId="5" fillId="0" borderId="0" xfId="9" applyNumberFormat="1" applyFont="1"/>
    <xf numFmtId="172" fontId="7" fillId="0" borderId="0" xfId="8" applyNumberFormat="1" applyFont="1"/>
    <xf numFmtId="176" fontId="3" fillId="0" borderId="0" xfId="9" applyNumberFormat="1" applyFont="1"/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6" fontId="3" fillId="0" borderId="1" xfId="11" applyNumberFormat="1" applyFont="1" applyBorder="1" applyAlignment="1">
      <alignment horizontal="right" vertical="center"/>
    </xf>
    <xf numFmtId="176" fontId="3" fillId="3" borderId="1" xfId="12" applyNumberFormat="1" applyFont="1" applyFill="1" applyBorder="1" applyAlignment="1">
      <alignment horizontal="right" vertical="center"/>
    </xf>
    <xf numFmtId="176" fontId="3" fillId="0" borderId="1" xfId="12" applyNumberFormat="1" applyFont="1" applyBorder="1" applyAlignment="1">
      <alignment horizontal="right" vertical="center"/>
    </xf>
    <xf numFmtId="183" fontId="3" fillId="0" borderId="1" xfId="11" applyNumberFormat="1" applyFont="1" applyBorder="1" applyAlignment="1">
      <alignment horizontal="right" vertical="center"/>
    </xf>
    <xf numFmtId="168" fontId="17" fillId="0" borderId="0" xfId="0" applyNumberFormat="1" applyFont="1" applyFill="1" applyBorder="1"/>
    <xf numFmtId="172" fontId="17" fillId="0" borderId="0" xfId="0" applyNumberFormat="1" applyFont="1" applyFill="1"/>
    <xf numFmtId="0" fontId="17" fillId="0" borderId="0" xfId="0" applyFont="1" applyFill="1"/>
    <xf numFmtId="176" fontId="3" fillId="0" borderId="1" xfId="9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3" fontId="5" fillId="0" borderId="1" xfId="11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66" fontId="19" fillId="5" borderId="1" xfId="0" applyNumberFormat="1" applyFont="1" applyFill="1" applyBorder="1" applyAlignment="1">
      <alignment horizontal="center" vertical="center" wrapText="1"/>
    </xf>
    <xf numFmtId="166" fontId="24" fillId="0" borderId="1" xfId="6" applyNumberFormat="1" applyFont="1" applyBorder="1" applyAlignment="1">
      <alignment horizontal="right"/>
    </xf>
    <xf numFmtId="167" fontId="3" fillId="0" borderId="0" xfId="9" applyNumberFormat="1" applyFont="1"/>
    <xf numFmtId="185" fontId="3" fillId="0" borderId="0" xfId="9" applyNumberFormat="1" applyFont="1"/>
    <xf numFmtId="2" fontId="3" fillId="0" borderId="1" xfId="11" applyNumberFormat="1" applyFont="1" applyFill="1" applyBorder="1" applyAlignment="1">
      <alignment horizontal="right" vertical="center"/>
    </xf>
    <xf numFmtId="2" fontId="5" fillId="2" borderId="1" xfId="4" applyNumberFormat="1" applyFont="1" applyFill="1" applyBorder="1" applyAlignment="1">
      <alignment horizontal="right" vertical="center" shrinkToFit="1"/>
    </xf>
    <xf numFmtId="2" fontId="5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67" fontId="21" fillId="0" borderId="1" xfId="11" applyNumberFormat="1" applyFont="1" applyBorder="1" applyAlignment="1">
      <alignment horizontal="right" vertical="center"/>
    </xf>
    <xf numFmtId="49" fontId="3" fillId="0" borderId="1" xfId="12" applyNumberFormat="1" applyFont="1" applyBorder="1" applyAlignment="1">
      <alignment horizontal="right" vertical="center"/>
    </xf>
    <xf numFmtId="0" fontId="3" fillId="0" borderId="8" xfId="11" applyFont="1" applyBorder="1" applyAlignment="1">
      <alignment horizontal="center"/>
    </xf>
    <xf numFmtId="0" fontId="3" fillId="0" borderId="8" xfId="11" applyFont="1" applyBorder="1"/>
    <xf numFmtId="166" fontId="3" fillId="0" borderId="8" xfId="11" applyNumberFormat="1" applyFont="1" applyBorder="1" applyAlignment="1">
      <alignment horizontal="right" vertical="center"/>
    </xf>
    <xf numFmtId="0" fontId="27" fillId="3" borderId="3" xfId="0" applyFont="1" applyFill="1" applyBorder="1" applyAlignment="1">
      <alignment vertical="center" wrapText="1"/>
    </xf>
    <xf numFmtId="0" fontId="27" fillId="3" borderId="4" xfId="0" applyFont="1" applyFill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8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/>
    </xf>
    <xf numFmtId="0" fontId="27" fillId="3" borderId="1" xfId="0" applyFont="1" applyFill="1" applyBorder="1" applyAlignment="1">
      <alignment horizontal="center"/>
    </xf>
    <xf numFmtId="166" fontId="27" fillId="3" borderId="1" xfId="0" applyNumberFormat="1" applyFont="1" applyFill="1" applyBorder="1"/>
    <xf numFmtId="167" fontId="27" fillId="0" borderId="1" xfId="0" applyNumberFormat="1" applyFont="1" applyFill="1" applyBorder="1"/>
    <xf numFmtId="167" fontId="27" fillId="3" borderId="1" xfId="0" applyNumberFormat="1" applyFont="1" applyFill="1" applyBorder="1" applyAlignment="1">
      <alignment vertical="center" wrapText="1"/>
    </xf>
    <xf numFmtId="167" fontId="26" fillId="3" borderId="1" xfId="0" applyNumberFormat="1" applyFont="1" applyFill="1" applyBorder="1"/>
    <xf numFmtId="167" fontId="27" fillId="3" borderId="1" xfId="0" applyNumberFormat="1" applyFont="1" applyFill="1" applyBorder="1" applyAlignment="1" applyProtection="1">
      <alignment vertical="center" wrapText="1"/>
    </xf>
    <xf numFmtId="167" fontId="27" fillId="5" borderId="1" xfId="0" applyNumberFormat="1" applyFont="1" applyFill="1" applyBorder="1" applyAlignment="1" applyProtection="1">
      <alignment vertical="center" wrapText="1"/>
    </xf>
    <xf numFmtId="166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 applyProtection="1">
      <alignment vertical="center" wrapText="1"/>
      <protection locked="0"/>
    </xf>
    <xf numFmtId="166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vertical="center" wrapText="1"/>
    </xf>
    <xf numFmtId="166" fontId="27" fillId="3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>
      <alignment vertical="center" wrapText="1"/>
    </xf>
    <xf numFmtId="172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 applyProtection="1">
      <alignment vertical="center" wrapText="1"/>
      <protection locked="0"/>
    </xf>
    <xf numFmtId="166" fontId="27" fillId="0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>
      <alignment vertical="center" wrapText="1"/>
    </xf>
    <xf numFmtId="166" fontId="27" fillId="0" borderId="1" xfId="0" applyNumberFormat="1" applyFont="1" applyFill="1" applyBorder="1" applyAlignment="1">
      <alignment vertical="center" wrapText="1"/>
    </xf>
    <xf numFmtId="167" fontId="28" fillId="0" borderId="1" xfId="0" applyNumberFormat="1" applyFont="1" applyFill="1" applyBorder="1" applyAlignment="1" applyProtection="1">
      <alignment vertical="center" wrapText="1"/>
      <protection locked="0"/>
    </xf>
    <xf numFmtId="167" fontId="26" fillId="0" borderId="1" xfId="0" applyNumberFormat="1" applyFont="1" applyFill="1" applyBorder="1"/>
    <xf numFmtId="166" fontId="27" fillId="0" borderId="1" xfId="0" applyNumberFormat="1" applyFont="1" applyFill="1" applyBorder="1"/>
    <xf numFmtId="167" fontId="27" fillId="0" borderId="1" xfId="0" applyNumberFormat="1" applyFont="1" applyFill="1" applyBorder="1" applyAlignment="1" applyProtection="1">
      <alignment vertical="center" wrapText="1"/>
    </xf>
    <xf numFmtId="166" fontId="27" fillId="5" borderId="1" xfId="0" applyNumberFormat="1" applyFont="1" applyFill="1" applyBorder="1"/>
    <xf numFmtId="167" fontId="27" fillId="5" borderId="1" xfId="0" applyNumberFormat="1" applyFont="1" applyFill="1" applyBorder="1"/>
    <xf numFmtId="167" fontId="26" fillId="5" borderId="1" xfId="0" applyNumberFormat="1" applyFont="1" applyFill="1" applyBorder="1"/>
    <xf numFmtId="166" fontId="27" fillId="5" borderId="1" xfId="0" applyNumberFormat="1" applyFont="1" applyFill="1" applyBorder="1" applyAlignment="1">
      <alignment vertical="center" wrapText="1"/>
    </xf>
    <xf numFmtId="167" fontId="27" fillId="5" borderId="1" xfId="0" applyNumberFormat="1" applyFont="1" applyFill="1" applyBorder="1" applyAlignment="1">
      <alignment horizontal="right" vertical="center" wrapText="1"/>
    </xf>
    <xf numFmtId="167" fontId="28" fillId="5" borderId="1" xfId="0" applyNumberFormat="1" applyFont="1" applyFill="1" applyBorder="1" applyAlignment="1" applyProtection="1">
      <alignment vertical="center" wrapText="1"/>
      <protection locked="0"/>
    </xf>
    <xf numFmtId="167" fontId="27" fillId="3" borderId="1" xfId="0" applyNumberFormat="1" applyFont="1" applyFill="1" applyBorder="1"/>
    <xf numFmtId="167" fontId="26" fillId="0" borderId="1" xfId="0" applyNumberFormat="1" applyFont="1" applyFill="1" applyBorder="1" applyAlignment="1">
      <alignment vertical="center" wrapText="1"/>
    </xf>
    <xf numFmtId="179" fontId="27" fillId="3" borderId="1" xfId="0" applyNumberFormat="1" applyFont="1" applyFill="1" applyBorder="1" applyAlignment="1" applyProtection="1">
      <alignment vertical="center" wrapText="1"/>
      <protection locked="0"/>
    </xf>
    <xf numFmtId="179" fontId="27" fillId="3" borderId="1" xfId="0" applyNumberFormat="1" applyFont="1" applyFill="1" applyBorder="1" applyAlignment="1">
      <alignment vertical="center" wrapText="1"/>
    </xf>
    <xf numFmtId="167" fontId="29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vertical="center" wrapText="1"/>
    </xf>
    <xf numFmtId="167" fontId="31" fillId="0" borderId="1" xfId="0" applyNumberFormat="1" applyFont="1" applyFill="1" applyBorder="1" applyAlignment="1">
      <alignment vertical="center" wrapText="1"/>
    </xf>
    <xf numFmtId="167" fontId="31" fillId="3" borderId="1" xfId="0" applyNumberFormat="1" applyFont="1" applyFill="1" applyBorder="1" applyAlignment="1">
      <alignment vertical="center" wrapText="1"/>
    </xf>
    <xf numFmtId="167" fontId="32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horizontal="right" vertical="center" wrapText="1"/>
    </xf>
    <xf numFmtId="167" fontId="30" fillId="0" borderId="1" xfId="0" applyNumberFormat="1" applyFont="1" applyFill="1" applyBorder="1" applyAlignment="1">
      <alignment vertical="center" wrapText="1"/>
    </xf>
    <xf numFmtId="0" fontId="33" fillId="3" borderId="1" xfId="10" applyFont="1" applyFill="1" applyBorder="1" applyAlignment="1">
      <alignment vertical="center" wrapText="1"/>
    </xf>
    <xf numFmtId="0" fontId="34" fillId="3" borderId="1" xfId="10" applyFont="1" applyFill="1" applyBorder="1" applyAlignment="1" applyProtection="1">
      <alignment vertical="center" wrapText="1"/>
      <protection locked="0"/>
    </xf>
    <xf numFmtId="0" fontId="34" fillId="0" borderId="1" xfId="10" applyFont="1" applyFill="1" applyBorder="1" applyAlignment="1" applyProtection="1">
      <alignment vertical="center" wrapText="1"/>
      <protection locked="0"/>
    </xf>
    <xf numFmtId="0" fontId="33" fillId="5" borderId="1" xfId="10" applyFont="1" applyFill="1" applyBorder="1" applyAlignment="1">
      <alignment vertical="center" wrapText="1"/>
    </xf>
    <xf numFmtId="0" fontId="34" fillId="5" borderId="1" xfId="10" applyFont="1" applyFill="1" applyBorder="1" applyAlignment="1" applyProtection="1">
      <alignment vertical="center" wrapText="1"/>
      <protection locked="0"/>
    </xf>
    <xf numFmtId="0" fontId="33" fillId="0" borderId="1" xfId="10" applyFont="1" applyFill="1" applyBorder="1" applyAlignment="1">
      <alignment vertical="center" wrapText="1"/>
    </xf>
    <xf numFmtId="0" fontId="35" fillId="0" borderId="1" xfId="10" applyFont="1" applyFill="1" applyBorder="1" applyAlignment="1">
      <alignment vertical="center" wrapText="1"/>
    </xf>
    <xf numFmtId="0" fontId="33" fillId="3" borderId="3" xfId="10" applyFont="1" applyFill="1" applyBorder="1" applyAlignment="1">
      <alignment vertical="center" wrapText="1"/>
    </xf>
    <xf numFmtId="0" fontId="34" fillId="3" borderId="5" xfId="10" applyFont="1" applyFill="1" applyBorder="1" applyAlignment="1" applyProtection="1">
      <alignment vertical="center" wrapText="1"/>
      <protection locked="0"/>
    </xf>
    <xf numFmtId="0" fontId="37" fillId="3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0" fontId="37" fillId="3" borderId="0" xfId="0" applyFont="1" applyFill="1"/>
    <xf numFmtId="0" fontId="38" fillId="3" borderId="0" xfId="0" applyFont="1" applyFill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38" fillId="3" borderId="0" xfId="0" applyFont="1" applyFill="1"/>
    <xf numFmtId="0" fontId="18" fillId="0" borderId="1" xfId="11" applyFont="1" applyBorder="1" applyAlignment="1">
      <alignment horizontal="center"/>
    </xf>
    <xf numFmtId="0" fontId="19" fillId="0" borderId="1" xfId="11" applyFont="1" applyBorder="1" applyAlignment="1">
      <alignment horizontal="center"/>
    </xf>
    <xf numFmtId="0" fontId="19" fillId="0" borderId="1" xfId="11" applyFont="1" applyFill="1" applyBorder="1" applyAlignment="1">
      <alignment horizontal="center"/>
    </xf>
    <xf numFmtId="1" fontId="18" fillId="0" borderId="1" xfId="11" applyNumberFormat="1" applyFont="1" applyBorder="1" applyAlignment="1">
      <alignment horizontal="center"/>
    </xf>
    <xf numFmtId="0" fontId="18" fillId="0" borderId="1" xfId="11" applyFont="1" applyBorder="1" applyAlignment="1">
      <alignment horizontal="center" vertical="top"/>
    </xf>
    <xf numFmtId="0" fontId="18" fillId="0" borderId="2" xfId="11" applyFont="1" applyBorder="1" applyAlignment="1">
      <alignment horizontal="center"/>
    </xf>
    <xf numFmtId="49" fontId="18" fillId="0" borderId="1" xfId="9" applyNumberFormat="1" applyFont="1" applyBorder="1" applyAlignment="1">
      <alignment horizontal="center"/>
    </xf>
    <xf numFmtId="49" fontId="19" fillId="0" borderId="1" xfId="9" applyNumberFormat="1" applyFont="1" applyBorder="1" applyAlignment="1">
      <alignment horizontal="center"/>
    </xf>
    <xf numFmtId="49" fontId="18" fillId="0" borderId="3" xfId="8" applyNumberFormat="1" applyFont="1" applyBorder="1" applyAlignment="1">
      <alignment horizontal="center"/>
    </xf>
    <xf numFmtId="49" fontId="19" fillId="0" borderId="1" xfId="8" applyNumberFormat="1" applyFont="1" applyBorder="1" applyAlignment="1">
      <alignment horizontal="center"/>
    </xf>
    <xf numFmtId="49" fontId="19" fillId="0" borderId="3" xfId="9" applyNumberFormat="1" applyFont="1" applyBorder="1" applyAlignment="1">
      <alignment horizontal="center"/>
    </xf>
    <xf numFmtId="49" fontId="19" fillId="0" borderId="3" xfId="7" applyNumberFormat="1" applyFont="1" applyBorder="1" applyAlignment="1">
      <alignment horizontal="center"/>
    </xf>
    <xf numFmtId="0" fontId="18" fillId="0" borderId="1" xfId="9" applyFont="1" applyBorder="1" applyAlignment="1">
      <alignment horizontal="center"/>
    </xf>
    <xf numFmtId="0" fontId="19" fillId="0" borderId="0" xfId="9" applyFont="1" applyAlignment="1">
      <alignment horizontal="left"/>
    </xf>
    <xf numFmtId="0" fontId="19" fillId="0" borderId="0" xfId="9" applyFont="1" applyAlignment="1">
      <alignment wrapText="1"/>
    </xf>
    <xf numFmtId="166" fontId="18" fillId="0" borderId="0" xfId="9" applyNumberFormat="1" applyFont="1" applyAlignment="1">
      <alignment horizontal="right"/>
    </xf>
    <xf numFmtId="166" fontId="19" fillId="0" borderId="0" xfId="9" applyNumberFormat="1" applyFont="1" applyAlignment="1">
      <alignment horizontal="center"/>
    </xf>
    <xf numFmtId="0" fontId="19" fillId="0" borderId="0" xfId="8" applyFont="1" applyAlignment="1">
      <alignment horizontal="left"/>
    </xf>
    <xf numFmtId="166" fontId="19" fillId="0" borderId="0" xfId="8" applyNumberFormat="1" applyFont="1"/>
    <xf numFmtId="0" fontId="19" fillId="0" borderId="0" xfId="8" applyFont="1"/>
    <xf numFmtId="0" fontId="19" fillId="0" borderId="0" xfId="8" applyFont="1" applyAlignment="1"/>
    <xf numFmtId="49" fontId="5" fillId="0" borderId="3" xfId="8" applyNumberFormat="1" applyFont="1" applyBorder="1" applyAlignment="1">
      <alignment horizontal="center"/>
    </xf>
    <xf numFmtId="49" fontId="3" fillId="0" borderId="3" xfId="7" applyNumberFormat="1" applyFont="1" applyBorder="1" applyAlignment="1">
      <alignment horizontal="center"/>
    </xf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0" fontId="3" fillId="0" borderId="0" xfId="9" applyFont="1" applyBorder="1"/>
    <xf numFmtId="168" fontId="18" fillId="0" borderId="0" xfId="9" applyNumberFormat="1" applyFont="1" applyAlignment="1">
      <alignment horizontal="right" vertical="center"/>
    </xf>
    <xf numFmtId="49" fontId="40" fillId="0" borderId="1" xfId="9" applyNumberFormat="1" applyFont="1" applyFill="1" applyBorder="1" applyAlignment="1" applyProtection="1">
      <alignment horizontal="center"/>
    </xf>
    <xf numFmtId="166" fontId="5" fillId="0" borderId="0" xfId="0" applyNumberFormat="1" applyFont="1"/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82" fontId="5" fillId="3" borderId="1" xfId="0" applyNumberFormat="1" applyFont="1" applyFill="1" applyBorder="1" applyAlignment="1">
      <alignment horizontal="right" vertical="center"/>
    </xf>
    <xf numFmtId="182" fontId="5" fillId="0" borderId="1" xfId="11" applyNumberFormat="1" applyFont="1" applyFill="1" applyBorder="1" applyAlignment="1">
      <alignment horizontal="right" vertical="center"/>
    </xf>
    <xf numFmtId="2" fontId="27" fillId="3" borderId="1" xfId="0" applyNumberFormat="1" applyFont="1" applyFill="1" applyBorder="1" applyAlignment="1" applyProtection="1">
      <alignment vertical="center" wrapText="1"/>
      <protection locked="0"/>
    </xf>
    <xf numFmtId="4" fontId="27" fillId="5" borderId="1" xfId="0" applyNumberFormat="1" applyFont="1" applyFill="1" applyBorder="1" applyAlignment="1" applyProtection="1">
      <alignment vertical="center" wrapText="1"/>
    </xf>
    <xf numFmtId="4" fontId="27" fillId="5" borderId="1" xfId="0" applyNumberFormat="1" applyFont="1" applyFill="1" applyBorder="1" applyAlignment="1" applyProtection="1">
      <alignment vertical="center" wrapText="1"/>
      <protection locked="0"/>
    </xf>
    <xf numFmtId="4" fontId="27" fillId="3" borderId="1" xfId="0" applyNumberFormat="1" applyFont="1" applyFill="1" applyBorder="1" applyAlignment="1" applyProtection="1">
      <alignment vertical="center" wrapText="1"/>
      <protection locked="0"/>
    </xf>
    <xf numFmtId="4" fontId="31" fillId="3" borderId="1" xfId="0" applyNumberFormat="1" applyFont="1" applyFill="1" applyBorder="1" applyAlignment="1">
      <alignment vertical="center" wrapText="1"/>
    </xf>
    <xf numFmtId="168" fontId="3" fillId="0" borderId="1" xfId="12" applyNumberFormat="1" applyFont="1" applyBorder="1" applyAlignment="1">
      <alignment horizontal="right" vertical="center"/>
    </xf>
    <xf numFmtId="184" fontId="3" fillId="0" borderId="1" xfId="12" applyNumberFormat="1" applyFont="1" applyBorder="1" applyAlignment="1">
      <alignment horizontal="right" vertical="center"/>
    </xf>
    <xf numFmtId="186" fontId="27" fillId="3" borderId="1" xfId="0" applyNumberFormat="1" applyFont="1" applyFill="1" applyBorder="1" applyAlignment="1">
      <alignment vertical="center" wrapText="1"/>
    </xf>
    <xf numFmtId="186" fontId="27" fillId="0" borderId="1" xfId="0" applyNumberFormat="1" applyFont="1" applyFill="1" applyBorder="1" applyAlignment="1">
      <alignment vertical="center" wrapText="1"/>
    </xf>
    <xf numFmtId="186" fontId="27" fillId="5" borderId="1" xfId="0" applyNumberFormat="1" applyFont="1" applyFill="1" applyBorder="1" applyAlignment="1">
      <alignment vertical="center" wrapText="1"/>
    </xf>
    <xf numFmtId="186" fontId="31" fillId="3" borderId="1" xfId="0" applyNumberFormat="1" applyFont="1" applyFill="1" applyBorder="1" applyAlignment="1">
      <alignment vertical="center" wrapText="1"/>
    </xf>
    <xf numFmtId="168" fontId="3" fillId="3" borderId="8" xfId="12" applyNumberFormat="1" applyFont="1" applyFill="1" applyBorder="1" applyAlignment="1">
      <alignment horizontal="right" vertical="center"/>
    </xf>
    <xf numFmtId="168" fontId="3" fillId="5" borderId="1" xfId="12" applyNumberFormat="1" applyFont="1" applyFill="1" applyBorder="1" applyAlignment="1">
      <alignment horizontal="right" vertical="center"/>
    </xf>
    <xf numFmtId="168" fontId="3" fillId="3" borderId="1" xfId="12" applyNumberFormat="1" applyFont="1" applyFill="1" applyBorder="1" applyAlignment="1">
      <alignment horizontal="right" vertical="center"/>
    </xf>
    <xf numFmtId="166" fontId="41" fillId="3" borderId="1" xfId="0" applyNumberFormat="1" applyFont="1" applyFill="1" applyBorder="1" applyAlignment="1">
      <alignment horizontal="center" vertical="center" wrapText="1"/>
    </xf>
    <xf numFmtId="172" fontId="31" fillId="3" borderId="1" xfId="0" applyNumberFormat="1" applyFont="1" applyFill="1" applyBorder="1" applyAlignment="1">
      <alignment vertical="center" wrapText="1"/>
    </xf>
    <xf numFmtId="174" fontId="3" fillId="0" borderId="1" xfId="1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6" fontId="3" fillId="0" borderId="1" xfId="11" applyNumberFormat="1" applyFont="1" applyFill="1" applyBorder="1" applyAlignment="1">
      <alignment horizontal="center" vertical="center" wrapText="1"/>
    </xf>
    <xf numFmtId="168" fontId="3" fillId="0" borderId="8" xfId="11" applyNumberFormat="1" applyFont="1" applyBorder="1" applyAlignment="1">
      <alignment horizontal="right" vertical="center"/>
    </xf>
    <xf numFmtId="183" fontId="3" fillId="0" borderId="1" xfId="12" applyNumberFormat="1" applyFont="1" applyBorder="1" applyAlignment="1">
      <alignment horizontal="right" vertical="center"/>
    </xf>
    <xf numFmtId="183" fontId="3" fillId="0" borderId="1" xfId="9" applyNumberFormat="1" applyFont="1" applyBorder="1" applyAlignment="1">
      <alignment horizontal="right" vertical="center"/>
    </xf>
    <xf numFmtId="168" fontId="3" fillId="0" borderId="1" xfId="6" applyNumberFormat="1" applyFont="1" applyBorder="1" applyAlignment="1">
      <alignment horizontal="right" vertical="center"/>
    </xf>
    <xf numFmtId="174" fontId="3" fillId="0" borderId="1" xfId="9" applyNumberFormat="1" applyFont="1" applyBorder="1" applyAlignment="1">
      <alignment horizontal="right" vertical="center"/>
    </xf>
    <xf numFmtId="0" fontId="27" fillId="3" borderId="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2" fillId="0" borderId="1" xfId="11" applyFont="1" applyBorder="1" applyAlignment="1">
      <alignment horizontal="center"/>
    </xf>
    <xf numFmtId="0" fontId="42" fillId="0" borderId="1" xfId="11" applyFont="1" applyBorder="1" applyAlignment="1">
      <alignment wrapText="1"/>
    </xf>
    <xf numFmtId="2" fontId="19" fillId="0" borderId="1" xfId="0" applyNumberFormat="1" applyFont="1" applyFill="1" applyBorder="1" applyAlignment="1">
      <alignment horizontal="center" vertical="center" wrapText="1"/>
    </xf>
    <xf numFmtId="174" fontId="19" fillId="3" borderId="1" xfId="0" applyNumberFormat="1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167" fontId="43" fillId="0" borderId="1" xfId="0" applyNumberFormat="1" applyFont="1" applyBorder="1" applyAlignment="1">
      <alignment vertical="center" wrapText="1"/>
    </xf>
    <xf numFmtId="167" fontId="43" fillId="5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67" fontId="25" fillId="5" borderId="1" xfId="0" applyNumberFormat="1" applyFont="1" applyFill="1" applyBorder="1" applyAlignment="1">
      <alignment vertical="center" wrapText="1"/>
    </xf>
    <xf numFmtId="167" fontId="25" fillId="0" borderId="1" xfId="0" applyNumberFormat="1" applyFont="1" applyFill="1" applyBorder="1" applyAlignment="1">
      <alignment vertical="center" wrapText="1"/>
    </xf>
    <xf numFmtId="168" fontId="3" fillId="5" borderId="1" xfId="11" applyNumberFormat="1" applyFont="1" applyFill="1" applyBorder="1" applyAlignment="1">
      <alignment horizontal="right" vertical="center"/>
    </xf>
    <xf numFmtId="168" fontId="18" fillId="5" borderId="1" xfId="0" applyNumberFormat="1" applyFont="1" applyFill="1" applyBorder="1" applyAlignment="1">
      <alignment horizontal="center" vertical="center" wrapText="1"/>
    </xf>
    <xf numFmtId="183" fontId="18" fillId="3" borderId="1" xfId="0" applyNumberFormat="1" applyFont="1" applyFill="1" applyBorder="1" applyAlignment="1">
      <alignment horizontal="center" vertical="center" wrapText="1"/>
    </xf>
    <xf numFmtId="168" fontId="18" fillId="3" borderId="1" xfId="0" applyNumberFormat="1" applyFont="1" applyFill="1" applyBorder="1" applyAlignment="1">
      <alignment horizontal="center" vertical="center" wrapText="1"/>
    </xf>
    <xf numFmtId="0" fontId="18" fillId="0" borderId="0" xfId="11" applyFont="1" applyBorder="1" applyAlignment="1">
      <alignment horizontal="center"/>
    </xf>
    <xf numFmtId="0" fontId="18" fillId="0" borderId="13" xfId="11" applyFont="1" applyBorder="1" applyAlignment="1">
      <alignment horizontal="left"/>
    </xf>
    <xf numFmtId="0" fontId="18" fillId="0" borderId="0" xfId="11" applyFont="1" applyBorder="1" applyAlignment="1">
      <alignment horizontal="left"/>
    </xf>
    <xf numFmtId="0" fontId="44" fillId="0" borderId="0" xfId="11" applyFont="1" applyBorder="1" applyAlignment="1">
      <alignment horizontal="center"/>
    </xf>
    <xf numFmtId="0" fontId="18" fillId="0" borderId="3" xfId="11" applyFont="1" applyBorder="1"/>
    <xf numFmtId="0" fontId="19" fillId="0" borderId="3" xfId="11" applyFont="1" applyBorder="1" applyAlignment="1">
      <alignment wrapText="1"/>
    </xf>
    <xf numFmtId="0" fontId="18" fillId="0" borderId="3" xfId="11" applyFont="1" applyBorder="1" applyAlignment="1">
      <alignment wrapText="1"/>
    </xf>
    <xf numFmtId="0" fontId="19" fillId="0" borderId="3" xfId="11" applyFont="1" applyBorder="1"/>
    <xf numFmtId="0" fontId="19" fillId="0" borderId="3" xfId="11" applyFont="1" applyFill="1" applyBorder="1"/>
    <xf numFmtId="0" fontId="19" fillId="0" borderId="3" xfId="11" applyFont="1" applyFill="1" applyBorder="1" applyAlignment="1">
      <alignment wrapText="1"/>
    </xf>
    <xf numFmtId="166" fontId="18" fillId="0" borderId="3" xfId="11" applyNumberFormat="1" applyFont="1" applyBorder="1" applyAlignment="1">
      <alignment wrapText="1"/>
    </xf>
    <xf numFmtId="0" fontId="18" fillId="0" borderId="3" xfId="11" applyFont="1" applyBorder="1" applyAlignment="1">
      <alignment vertical="top" wrapText="1"/>
    </xf>
    <xf numFmtId="0" fontId="18" fillId="0" borderId="3" xfId="11" applyFont="1" applyFill="1" applyBorder="1"/>
    <xf numFmtId="0" fontId="18" fillId="0" borderId="13" xfId="11" applyFont="1" applyFill="1" applyBorder="1"/>
    <xf numFmtId="0" fontId="18" fillId="3" borderId="3" xfId="9" applyFont="1" applyFill="1" applyBorder="1" applyAlignment="1">
      <alignment wrapText="1"/>
    </xf>
    <xf numFmtId="0" fontId="19" fillId="3" borderId="3" xfId="9" applyFont="1" applyFill="1" applyBorder="1" applyAlignment="1">
      <alignment wrapText="1"/>
    </xf>
    <xf numFmtId="0" fontId="19" fillId="0" borderId="3" xfId="9" applyFont="1" applyBorder="1" applyAlignment="1">
      <alignment wrapText="1"/>
    </xf>
    <xf numFmtId="0" fontId="18" fillId="3" borderId="3" xfId="8" applyFont="1" applyFill="1" applyBorder="1" applyAlignment="1">
      <alignment wrapText="1"/>
    </xf>
    <xf numFmtId="0" fontId="19" fillId="0" borderId="3" xfId="8" applyFont="1" applyBorder="1" applyAlignment="1">
      <alignment wrapText="1"/>
    </xf>
    <xf numFmtId="0" fontId="39" fillId="0" borderId="3" xfId="7" applyFont="1" applyBorder="1" applyAlignment="1">
      <alignment wrapText="1"/>
    </xf>
    <xf numFmtId="0" fontId="18" fillId="0" borderId="3" xfId="9" applyFont="1" applyFill="1" applyBorder="1" applyAlignment="1">
      <alignment horizontal="center" wrapText="1"/>
    </xf>
    <xf numFmtId="0" fontId="44" fillId="7" borderId="24" xfId="11" applyFont="1" applyFill="1" applyBorder="1" applyAlignment="1">
      <alignment horizontal="center"/>
    </xf>
    <xf numFmtId="0" fontId="44" fillId="7" borderId="25" xfId="11" applyFont="1" applyFill="1" applyBorder="1" applyAlignment="1">
      <alignment horizontal="center"/>
    </xf>
    <xf numFmtId="0" fontId="44" fillId="7" borderId="26" xfId="11" applyFont="1" applyFill="1" applyBorder="1" applyAlignment="1">
      <alignment horizontal="center"/>
    </xf>
    <xf numFmtId="0" fontId="44" fillId="0" borderId="24" xfId="11" applyFont="1" applyBorder="1" applyAlignment="1">
      <alignment horizontal="center"/>
    </xf>
    <xf numFmtId="0" fontId="47" fillId="0" borderId="27" xfId="11" applyFont="1" applyBorder="1" applyAlignment="1">
      <alignment horizontal="center"/>
    </xf>
    <xf numFmtId="167" fontId="48" fillId="0" borderId="17" xfId="11" applyNumberFormat="1" applyFont="1" applyBorder="1" applyAlignment="1">
      <alignment horizontal="right" vertical="center"/>
    </xf>
    <xf numFmtId="167" fontId="48" fillId="0" borderId="1" xfId="11" applyNumberFormat="1" applyFont="1" applyBorder="1" applyAlignment="1">
      <alignment horizontal="right" vertical="center"/>
    </xf>
    <xf numFmtId="167" fontId="46" fillId="0" borderId="18" xfId="11" applyNumberFormat="1" applyFont="1" applyBorder="1" applyAlignment="1">
      <alignment horizontal="right" vertical="center"/>
    </xf>
    <xf numFmtId="167" fontId="49" fillId="0" borderId="17" xfId="11" applyNumberFormat="1" applyFont="1" applyBorder="1" applyAlignment="1">
      <alignment horizontal="right" vertical="center"/>
    </xf>
    <xf numFmtId="167" fontId="49" fillId="0" borderId="1" xfId="11" applyNumberFormat="1" applyFont="1" applyFill="1" applyBorder="1" applyAlignment="1">
      <alignment horizontal="right" vertical="center"/>
    </xf>
    <xf numFmtId="167" fontId="49" fillId="0" borderId="17" xfId="11" applyNumberFormat="1" applyFont="1" applyFill="1" applyBorder="1" applyAlignment="1">
      <alignment horizontal="right" vertical="center"/>
    </xf>
    <xf numFmtId="167" fontId="49" fillId="0" borderId="1" xfId="11" applyNumberFormat="1" applyFont="1" applyBorder="1" applyAlignment="1">
      <alignment horizontal="right" vertical="center"/>
    </xf>
    <xf numFmtId="167" fontId="49" fillId="0" borderId="17" xfId="0" applyNumberFormat="1" applyFont="1" applyBorder="1" applyAlignment="1">
      <alignment horizontal="right" vertical="center"/>
    </xf>
    <xf numFmtId="167" fontId="49" fillId="3" borderId="17" xfId="0" applyNumberFormat="1" applyFont="1" applyFill="1" applyBorder="1" applyAlignment="1">
      <alignment horizontal="right" vertical="center"/>
    </xf>
    <xf numFmtId="167" fontId="48" fillId="0" borderId="17" xfId="0" applyNumberFormat="1" applyFont="1" applyBorder="1" applyAlignment="1">
      <alignment horizontal="right" vertical="center"/>
    </xf>
    <xf numFmtId="167" fontId="49" fillId="3" borderId="1" xfId="12" applyNumberFormat="1" applyFont="1" applyFill="1" applyBorder="1" applyAlignment="1">
      <alignment horizontal="right" vertical="center"/>
    </xf>
    <xf numFmtId="167" fontId="49" fillId="3" borderId="1" xfId="11" applyNumberFormat="1" applyFont="1" applyFill="1" applyBorder="1" applyAlignment="1">
      <alignment horizontal="right" vertical="center"/>
    </xf>
    <xf numFmtId="167" fontId="49" fillId="5" borderId="17" xfId="11" applyNumberFormat="1" applyFont="1" applyFill="1" applyBorder="1" applyAlignment="1">
      <alignment horizontal="right" vertical="center"/>
    </xf>
    <xf numFmtId="167" fontId="48" fillId="3" borderId="17" xfId="1" applyNumberFormat="1" applyFont="1" applyFill="1" applyBorder="1" applyAlignment="1">
      <alignment horizontal="right" vertical="center"/>
    </xf>
    <xf numFmtId="167" fontId="48" fillId="3" borderId="1" xfId="1" applyNumberFormat="1" applyFont="1" applyFill="1" applyBorder="1" applyAlignment="1">
      <alignment horizontal="right" vertical="center"/>
    </xf>
    <xf numFmtId="167" fontId="49" fillId="2" borderId="1" xfId="2" applyNumberFormat="1" applyFont="1" applyFill="1" applyBorder="1" applyAlignment="1">
      <alignment horizontal="right" vertical="center" shrinkToFit="1"/>
    </xf>
    <xf numFmtId="167" fontId="49" fillId="2" borderId="1" xfId="3" applyNumberFormat="1" applyFont="1" applyFill="1" applyBorder="1" applyAlignment="1">
      <alignment horizontal="right" vertical="center" shrinkToFit="1"/>
    </xf>
    <xf numFmtId="167" fontId="49" fillId="2" borderId="1" xfId="4" applyNumberFormat="1" applyFont="1" applyFill="1" applyBorder="1" applyAlignment="1">
      <alignment horizontal="right" vertical="center" shrinkToFit="1"/>
    </xf>
    <xf numFmtId="167" fontId="48" fillId="5" borderId="17" xfId="12" applyNumberFormat="1" applyFont="1" applyFill="1" applyBorder="1" applyAlignment="1">
      <alignment horizontal="right" vertical="center"/>
    </xf>
    <xf numFmtId="167" fontId="46" fillId="0" borderId="18" xfId="9" applyNumberFormat="1" applyFont="1" applyBorder="1" applyAlignment="1">
      <alignment horizontal="right" vertical="center"/>
    </xf>
    <xf numFmtId="167" fontId="48" fillId="0" borderId="19" xfId="11" applyNumberFormat="1" applyFont="1" applyBorder="1" applyAlignment="1">
      <alignment horizontal="right" vertical="center"/>
    </xf>
    <xf numFmtId="167" fontId="48" fillId="0" borderId="2" xfId="11" applyNumberFormat="1" applyFont="1" applyBorder="1" applyAlignment="1">
      <alignment horizontal="right" vertical="center"/>
    </xf>
    <xf numFmtId="167" fontId="46" fillId="0" borderId="20" xfId="9" applyNumberFormat="1" applyFont="1" applyBorder="1" applyAlignment="1">
      <alignment horizontal="right" vertical="center"/>
    </xf>
    <xf numFmtId="167" fontId="48" fillId="0" borderId="23" xfId="11" applyNumberFormat="1" applyFont="1" applyBorder="1" applyAlignment="1">
      <alignment horizontal="right" vertical="center"/>
    </xf>
    <xf numFmtId="167" fontId="48" fillId="0" borderId="17" xfId="9" applyNumberFormat="1" applyFont="1" applyBorder="1" applyAlignment="1">
      <alignment horizontal="right" vertical="center"/>
    </xf>
    <xf numFmtId="167" fontId="48" fillId="0" borderId="1" xfId="9" applyNumberFormat="1" applyFont="1" applyBorder="1" applyAlignment="1">
      <alignment horizontal="right" vertical="center"/>
    </xf>
    <xf numFmtId="167" fontId="46" fillId="0" borderId="18" xfId="6" applyNumberFormat="1" applyFont="1" applyBorder="1" applyAlignment="1">
      <alignment horizontal="right"/>
    </xf>
    <xf numFmtId="167" fontId="49" fillId="0" borderId="17" xfId="9" applyNumberFormat="1" applyFont="1" applyBorder="1" applyAlignment="1">
      <alignment horizontal="right" vertical="center"/>
    </xf>
    <xf numFmtId="167" fontId="49" fillId="0" borderId="1" xfId="9" applyNumberFormat="1" applyFont="1" applyBorder="1" applyAlignment="1">
      <alignment horizontal="right" vertical="center"/>
    </xf>
    <xf numFmtId="167" fontId="49" fillId="0" borderId="17" xfId="9" applyNumberFormat="1" applyFont="1" applyBorder="1" applyAlignment="1">
      <alignment horizontal="right"/>
    </xf>
    <xf numFmtId="167" fontId="49" fillId="0" borderId="1" xfId="9" applyNumberFormat="1" applyFont="1" applyBorder="1" applyAlignment="1">
      <alignment horizontal="right"/>
    </xf>
    <xf numFmtId="167" fontId="49" fillId="0" borderId="17" xfId="9" applyNumberFormat="1" applyFont="1" applyBorder="1" applyAlignment="1">
      <alignment horizontal="right" vertical="center" wrapText="1"/>
    </xf>
    <xf numFmtId="167" fontId="48" fillId="0" borderId="17" xfId="6" applyNumberFormat="1" applyFont="1" applyBorder="1" applyAlignment="1">
      <alignment horizontal="right" vertical="center"/>
    </xf>
    <xf numFmtId="167" fontId="48" fillId="0" borderId="1" xfId="6" applyNumberFormat="1" applyFont="1" applyBorder="1" applyAlignment="1">
      <alignment horizontal="right" vertical="center"/>
    </xf>
    <xf numFmtId="167" fontId="49" fillId="0" borderId="17" xfId="6" applyNumberFormat="1" applyFont="1" applyBorder="1" applyAlignment="1">
      <alignment horizontal="right" vertical="center"/>
    </xf>
    <xf numFmtId="167" fontId="49" fillId="0" borderId="1" xfId="6" applyNumberFormat="1" applyFont="1" applyBorder="1" applyAlignment="1">
      <alignment horizontal="right" vertical="center"/>
    </xf>
    <xf numFmtId="167" fontId="49" fillId="0" borderId="17" xfId="6" applyNumberFormat="1" applyFont="1" applyBorder="1" applyAlignment="1">
      <alignment horizontal="right"/>
    </xf>
    <xf numFmtId="167" fontId="49" fillId="2" borderId="1" xfId="5" applyNumberFormat="1" applyFont="1" applyFill="1" applyBorder="1" applyAlignment="1">
      <alignment horizontal="right" vertical="top" shrinkToFit="1"/>
    </xf>
    <xf numFmtId="167" fontId="49" fillId="2" borderId="17" xfId="5" applyNumberFormat="1" applyFont="1" applyFill="1" applyBorder="1" applyAlignment="1">
      <alignment horizontal="right" vertical="top" shrinkToFit="1"/>
    </xf>
    <xf numFmtId="167" fontId="48" fillId="0" borderId="1" xfId="12" applyNumberFormat="1" applyFont="1" applyBorder="1" applyAlignment="1">
      <alignment horizontal="right" vertical="center"/>
    </xf>
    <xf numFmtId="167" fontId="48" fillId="0" borderId="17" xfId="12" applyNumberFormat="1" applyFont="1" applyBorder="1" applyAlignment="1">
      <alignment horizontal="right" vertical="center"/>
    </xf>
    <xf numFmtId="167" fontId="48" fillId="0" borderId="17" xfId="9" applyNumberFormat="1" applyFont="1" applyBorder="1" applyAlignment="1">
      <alignment horizontal="right"/>
    </xf>
    <xf numFmtId="167" fontId="48" fillId="0" borderId="1" xfId="9" applyNumberFormat="1" applyFont="1" applyBorder="1" applyAlignment="1">
      <alignment horizontal="right"/>
    </xf>
    <xf numFmtId="167" fontId="48" fillId="5" borderId="21" xfId="12" applyNumberFormat="1" applyFont="1" applyFill="1" applyBorder="1" applyAlignment="1">
      <alignment horizontal="right" vertical="center"/>
    </xf>
    <xf numFmtId="166" fontId="18" fillId="7" borderId="15" xfId="11" applyNumberFormat="1" applyFont="1" applyFill="1" applyBorder="1" applyAlignment="1">
      <alignment horizontal="center" vertical="center" wrapText="1"/>
    </xf>
    <xf numFmtId="166" fontId="18" fillId="7" borderId="8" xfId="11" applyNumberFormat="1" applyFont="1" applyFill="1" applyBorder="1" applyAlignment="1">
      <alignment horizontal="center" vertical="center" wrapText="1"/>
    </xf>
    <xf numFmtId="0" fontId="45" fillId="7" borderId="16" xfId="0" applyFont="1" applyFill="1" applyBorder="1" applyAlignment="1">
      <alignment horizontal="center" vertical="center" wrapText="1"/>
    </xf>
    <xf numFmtId="0" fontId="18" fillId="7" borderId="1" xfId="9" applyFont="1" applyFill="1" applyBorder="1" applyAlignment="1">
      <alignment horizontal="center" vertical="center" wrapText="1"/>
    </xf>
    <xf numFmtId="0" fontId="18" fillId="7" borderId="3" xfId="9" applyFont="1" applyFill="1" applyBorder="1" applyAlignment="1">
      <alignment horizontal="center" vertical="center" wrapText="1"/>
    </xf>
    <xf numFmtId="167" fontId="18" fillId="7" borderId="17" xfId="11" applyNumberFormat="1" applyFont="1" applyFill="1" applyBorder="1" applyAlignment="1">
      <alignment horizontal="center" vertical="center" wrapText="1"/>
    </xf>
    <xf numFmtId="167" fontId="18" fillId="7" borderId="1" xfId="11" applyNumberFormat="1" applyFont="1" applyFill="1" applyBorder="1" applyAlignment="1">
      <alignment horizontal="center" vertical="center" wrapText="1"/>
    </xf>
    <xf numFmtId="167" fontId="45" fillId="7" borderId="18" xfId="0" applyNumberFormat="1" applyFont="1" applyFill="1" applyBorder="1" applyAlignment="1">
      <alignment horizontal="center" vertical="center" wrapText="1"/>
    </xf>
    <xf numFmtId="167" fontId="50" fillId="0" borderId="22" xfId="6" applyNumberFormat="1" applyFont="1" applyBorder="1" applyAlignment="1">
      <alignment horizontal="right"/>
    </xf>
    <xf numFmtId="0" fontId="18" fillId="7" borderId="8" xfId="11" applyFont="1" applyFill="1" applyBorder="1" applyAlignment="1">
      <alignment horizontal="center" vertical="center" wrapText="1"/>
    </xf>
    <xf numFmtId="0" fontId="18" fillId="7" borderId="9" xfId="11" applyFont="1" applyFill="1" applyBorder="1" applyAlignment="1">
      <alignment horizontal="center" vertical="center" wrapText="1"/>
    </xf>
    <xf numFmtId="0" fontId="18" fillId="0" borderId="28" xfId="11" applyFont="1" applyBorder="1" applyAlignment="1">
      <alignment horizontal="left"/>
    </xf>
    <xf numFmtId="0" fontId="44" fillId="0" borderId="29" xfId="11" applyFont="1" applyBorder="1" applyAlignment="1">
      <alignment horizontal="center"/>
    </xf>
    <xf numFmtId="0" fontId="51" fillId="0" borderId="3" xfId="9" applyFont="1" applyBorder="1" applyAlignment="1">
      <alignment horizontal="left" wrapText="1"/>
    </xf>
    <xf numFmtId="49" fontId="45" fillId="0" borderId="1" xfId="9" applyNumberFormat="1" applyFont="1" applyBorder="1" applyAlignment="1">
      <alignment horizontal="center"/>
    </xf>
    <xf numFmtId="0" fontId="45" fillId="0" borderId="3" xfId="11" applyFont="1" applyBorder="1"/>
    <xf numFmtId="4" fontId="48" fillId="0" borderId="1" xfId="11" applyNumberFormat="1" applyFont="1" applyBorder="1" applyAlignment="1">
      <alignment horizontal="right" vertical="center"/>
    </xf>
    <xf numFmtId="0" fontId="51" fillId="0" borderId="3" xfId="9" applyFont="1" applyBorder="1" applyAlignment="1">
      <alignment wrapText="1"/>
    </xf>
    <xf numFmtId="0" fontId="44" fillId="0" borderId="3" xfId="9" applyFont="1" applyBorder="1" applyAlignment="1">
      <alignment wrapText="1"/>
    </xf>
    <xf numFmtId="0" fontId="44" fillId="0" borderId="3" xfId="9" applyFont="1" applyBorder="1" applyAlignment="1">
      <alignment horizontal="left" wrapText="1"/>
    </xf>
    <xf numFmtId="0" fontId="44" fillId="3" borderId="3" xfId="9" applyFont="1" applyFill="1" applyBorder="1" applyAlignment="1">
      <alignment wrapText="1"/>
    </xf>
    <xf numFmtId="49" fontId="44" fillId="0" borderId="1" xfId="9" applyNumberFormat="1" applyFont="1" applyBorder="1" applyAlignment="1">
      <alignment horizontal="center"/>
    </xf>
    <xf numFmtId="0" fontId="52" fillId="0" borderId="3" xfId="9" applyFont="1" applyBorder="1" applyAlignment="1">
      <alignment wrapText="1"/>
    </xf>
    <xf numFmtId="0" fontId="51" fillId="3" borderId="3" xfId="0" applyNumberFormat="1" applyFont="1" applyFill="1" applyBorder="1" applyAlignment="1">
      <alignment vertical="center" wrapText="1"/>
    </xf>
    <xf numFmtId="0" fontId="52" fillId="3" borderId="1" xfId="0" applyNumberFormat="1" applyFont="1" applyFill="1" applyBorder="1" applyAlignment="1">
      <alignment vertical="center" wrapText="1"/>
    </xf>
    <xf numFmtId="0" fontId="45" fillId="0" borderId="3" xfId="9" applyFont="1" applyBorder="1" applyAlignment="1">
      <alignment wrapText="1"/>
    </xf>
    <xf numFmtId="0" fontId="45" fillId="0" borderId="3" xfId="9" applyFont="1" applyFill="1" applyBorder="1" applyAlignment="1">
      <alignment wrapText="1"/>
    </xf>
    <xf numFmtId="0" fontId="45" fillId="0" borderId="3" xfId="9" applyFont="1" applyBorder="1" applyAlignment="1">
      <alignment horizontal="left" wrapText="1"/>
    </xf>
    <xf numFmtId="0" fontId="45" fillId="3" borderId="3" xfId="9" applyFont="1" applyFill="1" applyBorder="1" applyAlignment="1">
      <alignment wrapText="1"/>
    </xf>
    <xf numFmtId="0" fontId="45" fillId="0" borderId="1" xfId="9" applyFont="1" applyBorder="1" applyAlignment="1">
      <alignment horizontal="center"/>
    </xf>
    <xf numFmtId="167" fontId="46" fillId="0" borderId="17" xfId="9" applyNumberFormat="1" applyFont="1" applyBorder="1" applyAlignment="1">
      <alignment horizontal="right" vertical="center"/>
    </xf>
    <xf numFmtId="167" fontId="46" fillId="0" borderId="1" xfId="9" applyNumberFormat="1" applyFont="1" applyBorder="1" applyAlignment="1">
      <alignment horizontal="right" vertical="center"/>
    </xf>
    <xf numFmtId="167" fontId="46" fillId="2" borderId="1" xfId="5" applyNumberFormat="1" applyFont="1" applyFill="1" applyBorder="1" applyAlignment="1">
      <alignment horizontal="right" vertical="top" shrinkToFit="1"/>
    </xf>
    <xf numFmtId="167" fontId="46" fillId="0" borderId="17" xfId="6" applyNumberFormat="1" applyFont="1" applyBorder="1" applyAlignment="1">
      <alignment horizontal="right" vertical="center"/>
    </xf>
    <xf numFmtId="49" fontId="45" fillId="0" borderId="3" xfId="9" applyNumberFormat="1" applyFont="1" applyBorder="1" applyAlignment="1">
      <alignment horizontal="center"/>
    </xf>
    <xf numFmtId="49" fontId="53" fillId="0" borderId="1" xfId="9" applyNumberFormat="1" applyFont="1" applyBorder="1" applyAlignment="1">
      <alignment horizontal="center"/>
    </xf>
    <xf numFmtId="0" fontId="53" fillId="0" borderId="3" xfId="9" applyFont="1" applyBorder="1" applyAlignment="1">
      <alignment horizontal="left" wrapText="1"/>
    </xf>
    <xf numFmtId="0" fontId="44" fillId="3" borderId="3" xfId="9" applyFont="1" applyFill="1" applyBorder="1" applyAlignment="1">
      <alignment horizontal="left" wrapText="1"/>
    </xf>
    <xf numFmtId="0" fontId="53" fillId="0" borderId="3" xfId="9" applyFont="1" applyBorder="1" applyAlignment="1">
      <alignment wrapText="1"/>
    </xf>
    <xf numFmtId="0" fontId="53" fillId="3" borderId="3" xfId="9" applyFont="1" applyFill="1" applyBorder="1" applyAlignment="1">
      <alignment wrapText="1"/>
    </xf>
    <xf numFmtId="0" fontId="53" fillId="3" borderId="3" xfId="9" applyFont="1" applyFill="1" applyBorder="1" applyAlignment="1">
      <alignment horizontal="left" wrapText="1"/>
    </xf>
    <xf numFmtId="0" fontId="53" fillId="0" borderId="1" xfId="9" applyFont="1" applyBorder="1" applyAlignment="1">
      <alignment horizontal="center"/>
    </xf>
    <xf numFmtId="0" fontId="53" fillId="0" borderId="3" xfId="9" applyFont="1" applyFill="1" applyBorder="1" applyAlignment="1">
      <alignment wrapText="1"/>
    </xf>
    <xf numFmtId="0" fontId="53" fillId="0" borderId="3" xfId="8" applyFont="1" applyBorder="1" applyAlignment="1">
      <alignment wrapText="1"/>
    </xf>
    <xf numFmtId="167" fontId="46" fillId="2" borderId="1" xfId="5" applyNumberFormat="1" applyFont="1" applyFill="1" applyBorder="1" applyAlignment="1">
      <alignment horizontal="right" shrinkToFit="1"/>
    </xf>
    <xf numFmtId="167" fontId="46" fillId="0" borderId="17" xfId="9" applyNumberFormat="1" applyFont="1" applyBorder="1" applyAlignment="1">
      <alignment horizontal="right"/>
    </xf>
    <xf numFmtId="167" fontId="46" fillId="0" borderId="1" xfId="9" applyNumberFormat="1" applyFont="1" applyBorder="1" applyAlignment="1">
      <alignment horizontal="right"/>
    </xf>
    <xf numFmtId="167" fontId="48" fillId="5" borderId="1" xfId="9" applyNumberFormat="1" applyFont="1" applyFill="1" applyBorder="1" applyAlignment="1">
      <alignment horizontal="right"/>
    </xf>
    <xf numFmtId="167" fontId="48" fillId="5" borderId="17" xfId="9" applyNumberFormat="1" applyFont="1" applyFill="1" applyBorder="1" applyAlignment="1">
      <alignment horizontal="right"/>
    </xf>
    <xf numFmtId="167" fontId="48" fillId="0" borderId="17" xfId="6" applyNumberFormat="1" applyFont="1" applyBorder="1" applyAlignment="1">
      <alignment horizontal="right"/>
    </xf>
    <xf numFmtId="167" fontId="46" fillId="0" borderId="17" xfId="6" applyNumberFormat="1" applyFont="1" applyBorder="1" applyAlignment="1">
      <alignment horizontal="right"/>
    </xf>
    <xf numFmtId="167" fontId="46" fillId="0" borderId="1" xfId="6" applyNumberFormat="1" applyFont="1" applyBorder="1" applyAlignment="1">
      <alignment horizontal="right"/>
    </xf>
    <xf numFmtId="167" fontId="48" fillId="0" borderId="1" xfId="0" applyNumberFormat="1" applyFont="1" applyBorder="1" applyAlignment="1">
      <alignment horizontal="right" vertical="center"/>
    </xf>
    <xf numFmtId="167" fontId="49" fillId="0" borderId="5" xfId="9" applyNumberFormat="1" applyFont="1" applyBorder="1" applyAlignment="1">
      <alignment horizontal="right" vertical="center"/>
    </xf>
    <xf numFmtId="167" fontId="49" fillId="0" borderId="17" xfId="9" applyNumberFormat="1" applyFont="1" applyBorder="1" applyAlignment="1">
      <alignment vertical="center"/>
    </xf>
    <xf numFmtId="167" fontId="49" fillId="0" borderId="17" xfId="9" applyNumberFormat="1" applyFont="1" applyBorder="1" applyAlignment="1"/>
    <xf numFmtId="167" fontId="48" fillId="5" borderId="1" xfId="12" applyNumberFormat="1" applyFont="1" applyFill="1" applyBorder="1" applyAlignment="1">
      <alignment horizontal="right" vertical="center"/>
    </xf>
    <xf numFmtId="167" fontId="48" fillId="5" borderId="17" xfId="11" applyNumberFormat="1" applyFont="1" applyFill="1" applyBorder="1" applyAlignment="1">
      <alignment horizontal="right" vertical="center"/>
    </xf>
    <xf numFmtId="172" fontId="48" fillId="3" borderId="17" xfId="1" applyNumberFormat="1" applyFont="1" applyFill="1" applyBorder="1" applyAlignment="1">
      <alignment horizontal="right" vertical="center"/>
    </xf>
    <xf numFmtId="167" fontId="46" fillId="2" borderId="17" xfId="5" applyNumberFormat="1" applyFont="1" applyFill="1" applyBorder="1" applyAlignment="1">
      <alignment horizontal="right" vertical="top" shrinkToFi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27" fillId="3" borderId="9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30" fillId="3" borderId="0" xfId="0" applyFont="1" applyFill="1" applyAlignment="1" applyProtection="1">
      <alignment horizontal="center" vertical="center" wrapText="1"/>
      <protection locked="0"/>
    </xf>
    <xf numFmtId="0" fontId="38" fillId="3" borderId="6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left" vertical="center" wrapText="1"/>
    </xf>
    <xf numFmtId="4" fontId="36" fillId="3" borderId="3" xfId="10" applyNumberFormat="1" applyFont="1" applyFill="1" applyBorder="1" applyAlignment="1">
      <alignment horizontal="center" vertical="center" wrapText="1"/>
    </xf>
    <xf numFmtId="4" fontId="36" fillId="3" borderId="5" xfId="1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5" xfId="0" applyNumberFormat="1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49" fontId="27" fillId="3" borderId="10" xfId="0" applyNumberFormat="1" applyFont="1" applyFill="1" applyBorder="1" applyAlignment="1">
      <alignment horizontal="center" vertical="center" wrapText="1"/>
    </xf>
    <xf numFmtId="49" fontId="27" fillId="3" borderId="11" xfId="0" applyNumberFormat="1" applyFont="1" applyFill="1" applyBorder="1" applyAlignment="1">
      <alignment horizontal="center" vertical="center" wrapText="1"/>
    </xf>
    <xf numFmtId="49" fontId="27" fillId="3" borderId="12" xfId="0" applyNumberFormat="1" applyFont="1" applyFill="1" applyBorder="1" applyAlignment="1">
      <alignment horizontal="center" vertical="center" wrapText="1"/>
    </xf>
    <xf numFmtId="49" fontId="27" fillId="3" borderId="13" xfId="0" applyNumberFormat="1" applyFont="1" applyFill="1" applyBorder="1" applyAlignment="1">
      <alignment horizontal="center" vertical="center" wrapText="1"/>
    </xf>
    <xf numFmtId="49" fontId="27" fillId="3" borderId="0" xfId="0" applyNumberFormat="1" applyFont="1" applyFill="1" applyBorder="1" applyAlignment="1">
      <alignment horizontal="center" vertical="center" wrapText="1"/>
    </xf>
    <xf numFmtId="49" fontId="27" fillId="3" borderId="14" xfId="0" applyNumberFormat="1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738" Type="http://schemas.openxmlformats.org/officeDocument/2006/relationships/revisionLog" Target="revisionLog11.xml"/><Relationship Id="rId1742" Type="http://schemas.openxmlformats.org/officeDocument/2006/relationships/revisionLog" Target="revisionLog12.xml"/><Relationship Id="rId1750" Type="http://schemas.openxmlformats.org/officeDocument/2006/relationships/revisionLog" Target="revisionLog13.xml"/><Relationship Id="rId1759" Type="http://schemas.openxmlformats.org/officeDocument/2006/relationships/revisionLog" Target="revisionLog15.xml"/><Relationship Id="rId1733" Type="http://schemas.openxmlformats.org/officeDocument/2006/relationships/revisionLog" Target="revisionLog111.xml"/><Relationship Id="rId1741" Type="http://schemas.openxmlformats.org/officeDocument/2006/relationships/revisionLog" Target="revisionLog121.xml"/><Relationship Id="rId1746" Type="http://schemas.openxmlformats.org/officeDocument/2006/relationships/revisionLog" Target="revisionLog131.xml"/><Relationship Id="rId1754" Type="http://schemas.openxmlformats.org/officeDocument/2006/relationships/revisionLog" Target="revisionLog14.xml"/><Relationship Id="rId1762" Type="http://schemas.openxmlformats.org/officeDocument/2006/relationships/revisionLog" Target="revisionLog2.xml"/><Relationship Id="rId1758" Type="http://schemas.openxmlformats.org/officeDocument/2006/relationships/revisionLog" Target="revisionLog151.xml"/><Relationship Id="rId1729" Type="http://schemas.openxmlformats.org/officeDocument/2006/relationships/revisionLog" Target="revisionLog1111.xml"/><Relationship Id="rId1737" Type="http://schemas.openxmlformats.org/officeDocument/2006/relationships/revisionLog" Target="revisionLog1211.xml"/><Relationship Id="rId1732" Type="http://schemas.openxmlformats.org/officeDocument/2006/relationships/revisionLog" Target="revisionLog122.xml"/><Relationship Id="rId1740" Type="http://schemas.openxmlformats.org/officeDocument/2006/relationships/revisionLog" Target="revisionLog1311.xml"/><Relationship Id="rId1745" Type="http://schemas.openxmlformats.org/officeDocument/2006/relationships/revisionLog" Target="revisionLog141.xml"/><Relationship Id="rId1753" Type="http://schemas.openxmlformats.org/officeDocument/2006/relationships/revisionLog" Target="revisionLog1511.xml"/><Relationship Id="rId1761" Type="http://schemas.openxmlformats.org/officeDocument/2006/relationships/revisionLog" Target="revisionLog1.xml"/><Relationship Id="rId1736" Type="http://schemas.openxmlformats.org/officeDocument/2006/relationships/revisionLog" Target="revisionLog1411.xml"/><Relationship Id="rId1728" Type="http://schemas.openxmlformats.org/officeDocument/2006/relationships/revisionLog" Target="revisionLog113.xml"/><Relationship Id="rId1731" Type="http://schemas.openxmlformats.org/officeDocument/2006/relationships/revisionLog" Target="revisionLog1221.xml"/><Relationship Id="rId1744" Type="http://schemas.openxmlformats.org/officeDocument/2006/relationships/revisionLog" Target="revisionLog15111.xml"/><Relationship Id="rId1749" Type="http://schemas.openxmlformats.org/officeDocument/2006/relationships/revisionLog" Target="revisionLog16.xml"/><Relationship Id="rId1757" Type="http://schemas.openxmlformats.org/officeDocument/2006/relationships/revisionLog" Target="revisionLog17.xml"/><Relationship Id="rId1760" Type="http://schemas.openxmlformats.org/officeDocument/2006/relationships/revisionLog" Target="revisionLog18.xml"/><Relationship Id="rId1748" Type="http://schemas.openxmlformats.org/officeDocument/2006/relationships/revisionLog" Target="revisionLog161.xml"/><Relationship Id="rId1752" Type="http://schemas.openxmlformats.org/officeDocument/2006/relationships/revisionLog" Target="revisionLog171.xml"/><Relationship Id="rId1735" Type="http://schemas.openxmlformats.org/officeDocument/2006/relationships/revisionLog" Target="revisionLog14111.xml"/><Relationship Id="rId1730" Type="http://schemas.openxmlformats.org/officeDocument/2006/relationships/revisionLog" Target="revisionLog12211.xml"/><Relationship Id="rId1743" Type="http://schemas.openxmlformats.org/officeDocument/2006/relationships/revisionLog" Target="revisionLog151111.xml"/><Relationship Id="rId1751" Type="http://schemas.openxmlformats.org/officeDocument/2006/relationships/revisionLog" Target="revisionLog1711.xml"/><Relationship Id="rId1756" Type="http://schemas.openxmlformats.org/officeDocument/2006/relationships/revisionLog" Target="revisionLog181.xml"/><Relationship Id="rId1734" Type="http://schemas.openxmlformats.org/officeDocument/2006/relationships/revisionLog" Target="revisionLog141111.xml"/><Relationship Id="rId1755" Type="http://schemas.openxmlformats.org/officeDocument/2006/relationships/revisionLog" Target="revisionLog1811.xml"/><Relationship Id="rId1739" Type="http://schemas.openxmlformats.org/officeDocument/2006/relationships/revisionLog" Target="revisionLog1611.xml"/><Relationship Id="rId1747" Type="http://schemas.openxmlformats.org/officeDocument/2006/relationships/revisionLog" Target="revisionLog1711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5211113-4FBD-479F-8830-90E7ACEE6ED8}" diskRevisions="1" revisionId="70307" version="67">
  <header guid="{9D5A5A68-1D20-4547-B541-1DC6FC40CB29}" dateTime="2024-06-05T16:50:33" maxSheetId="26" userName="morgau_fin3" r:id="rId172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0CCA61A-E14B-4B78-BA65-B73D83859F91}" dateTime="2024-06-06T10:11:50" maxSheetId="26" userName="morgau_fin3" r:id="rId1729" minRId="69003" maxRId="6905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E3B1233-9801-411A-BF51-D1524E3929D4}" dateTime="2024-06-06T11:08:04" maxSheetId="26" userName="morgau_fin3" r:id="rId173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EEF7DCF7-CF98-460D-BE4C-C05DC84561A4}" dateTime="2024-06-07T14:29:57" maxSheetId="26" userName="morgau_fin3" r:id="rId173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4D725C5-21EE-44D2-8439-FE68F3435B81}" dateTime="2024-07-04T16:14:10" maxSheetId="26" userName="morgau_fin3" r:id="rId1732" minRId="69148" maxRId="6915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90C0F07-9444-4C89-ADB2-5429A214FB1C}" dateTime="2024-07-04T16:21:16" maxSheetId="26" userName="morgau_fin3" r:id="rId1733" minRId="69186" maxRId="6919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3CF39BAB-26F4-4C76-B3C8-E37885B0A8B2}" dateTime="2024-07-04T16:27:33" maxSheetId="26" userName="morgau_fin3" r:id="rId1734" minRId="69222" maxRId="69223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45569B0D-E781-41EF-88EB-F3BC6CE79A04}" dateTime="2024-07-04T16:39:05" maxSheetId="26" userName="morgau_fin3" r:id="rId1735" minRId="69254" maxRId="6926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EB6EBD6-D18B-4EC5-9951-5382FB8717BB}" dateTime="2024-07-04T16:43:05" maxSheetId="26" userName="morgau_fin3" r:id="rId1736" minRId="69298" maxRId="6930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90D73A0-BF3D-4C4A-9D71-8BDF07B406F7}" dateTime="2024-07-04T16:44:14" maxSheetId="26" userName="morgau_fin3" r:id="rId1737" minRId="69335" maxRId="69336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35EB464-4C90-46E0-9AB4-B8D25ECC58C7}" dateTime="2024-07-04T16:48:06" maxSheetId="26" userName="morgau_fin3" r:id="rId1738" minRId="69367" maxRId="6937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07CBE48-BD3B-4739-A571-80C03272DA0F}" dateTime="2024-07-04T16:48:18" maxSheetId="26" userName="morgau_fin3" r:id="rId173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55BDBCD-6D11-49BF-A8C4-825C52D25D3F}" dateTime="2024-07-04T16:59:25" maxSheetId="26" userName="morgau_fin3" r:id="rId174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13CF52C-0275-4A80-8663-595FF23AFF59}" dateTime="2024-07-05T09:48:52" maxSheetId="26" userName="morgau_fin3" r:id="rId1741" minRId="69463" maxRId="6947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2355B34D-42C5-4E88-AC3B-35BC925E1542}" dateTime="2024-07-05T10:19:47" maxSheetId="26" userName="morgau_fin3" r:id="rId1742" minRId="69510" maxRId="6954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56CDA8EF-024E-45AE-B96F-FA416C427730}" dateTime="2024-07-05T10:26:42" maxSheetId="26" userName="morgau_fin3" r:id="rId1743" minRId="6957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767CB92-CDCD-4C8C-9D10-7B031ACB5CB6}" dateTime="2024-07-05T10:27:38" maxSheetId="26" userName="morgau_fin3" r:id="rId174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F8FC1E6-2444-4CFC-8515-F1F38D49C64D}" dateTime="2024-07-05T10:42:18" maxSheetId="26" userName="morgau_fin3" r:id="rId174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EFD1345E-D5ED-4022-BD97-816704D83C34}" dateTime="2024-07-05T10:45:50" maxSheetId="26" userName="morgau_fin3" r:id="rId1746" minRId="69662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D742AAC0-9056-4881-BBC6-5D65BDC22034}" dateTime="2024-07-05T10:54:43" maxSheetId="26" userName="morgau_fin3" r:id="rId1747" minRId="69693" maxRId="6970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1063237-FC62-44D8-9BB9-3B75FF6E3E72}" dateTime="2024-07-05T11:39:20" maxSheetId="26" userName="morgau_fin3" r:id="rId1748" minRId="69731" maxRId="6975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52291929-D70F-4AA7-AF9F-629A3C4BAB12}" dateTime="2024-07-05T11:43:48" maxSheetId="26" userName="morgau_fin3" r:id="rId1749" minRId="69786" maxRId="6978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674003E-C2F3-4AAF-972A-C99F0CA89CC5}" dateTime="2024-07-05T11:44:00" maxSheetId="26" userName="morgau_fin3" r:id="rId175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C91283D-D196-420D-8252-C410E4D97F46}" dateTime="2024-07-05T11:57:59" maxSheetId="26" userName="morgau_fin3" r:id="rId175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1FA22600-5C07-4EA8-8E37-25D8FB2907B9}" dateTime="2024-07-05T14:13:56" maxSheetId="26" userName="morgau_fin3" r:id="rId1752" minRId="69878" maxRId="6989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4DBAB2C-481B-4F14-8BB9-44C8CA708459}" dateTime="2024-07-05T14:17:34" maxSheetId="26" userName="morgau_fin3" r:id="rId1753" minRId="69929" maxRId="6993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589AEA0F-7557-46D1-98A3-43FA7EDF62C3}" dateTime="2024-07-05T14:22:13" maxSheetId="26" userName="morgau_fin3" r:id="rId1754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86DA4A06-C277-437A-A605-91D5E6B189F3}" dateTime="2024-07-08T11:41:53" maxSheetId="26" userName="morgau_fin3" r:id="rId1755" minRId="69996" maxRId="7003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753C69BD-344A-42F5-9D26-608DE7C1490C}" dateTime="2024-07-08T11:48:53" maxSheetId="26" userName="morgau_fin3" r:id="rId1756" minRId="70062" maxRId="70095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4EEFEE54-A580-4852-BEBC-3B3E74589964}" dateTime="2024-07-08T11:48:58" maxSheetId="26" userName="morgau_fin3" r:id="rId175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CC21DE5C-9C99-4E73-A962-54840F12FC3B}" dateTime="2024-07-08T11:50:15" maxSheetId="26" userName="morgau_fin3" r:id="rId1758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005AD391-05AD-4104-8773-35B38CF8B38F}" dateTime="2024-07-08T13:45:50" maxSheetId="26" userName="morgau_fin3" r:id="rId1759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FAE15F11-A814-4D45-94CF-DE0C019387BD}" dateTime="2024-07-08T13:51:19" maxSheetId="26" userName="morgau_fin3" r:id="rId1760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A16789A-5CE3-4EBD-853E-7D25907DC6C9}" dateTime="2024-07-11T14:52:14" maxSheetId="26" userName="morgau_fin3" r:id="rId1761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  <header guid="{65211113-4FBD-479F-8830-90E7ACEE6ED8}" dateTime="2024-07-17T16:40:55" maxSheetId="26" userName="Семенов Николай Юрьевич" r:id="rId1762" minRId="70276" maxRId="70277">
    <sheetIdMap count="25">
      <sheetId val="1"/>
      <sheetId val="2"/>
      <sheetId val="3"/>
      <sheetId val="24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fmt sheetId="3" sqref="C199:D199">
    <dxf>
      <numFmt numFmtId="186" formatCode="#,##0.0000"/>
    </dxf>
  </rfmt>
  <rfmt sheetId="3" sqref="C199:D199">
    <dxf>
      <numFmt numFmtId="187" formatCode="#,##0.000"/>
    </dxf>
  </rfmt>
  <rfmt sheetId="3" sqref="C199:D199">
    <dxf>
      <numFmt numFmtId="4" formatCode="#,##0.00"/>
    </dxf>
  </rfmt>
  <rfmt sheetId="3" sqref="C199:D199">
    <dxf>
      <numFmt numFmtId="167" formatCode="#,##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69367" sId="3" numFmtId="4">
    <oc r="C72">
      <v>237620.93455999999</v>
    </oc>
    <nc r="C72">
      <v>239001.00396999999</v>
    </nc>
  </rcc>
  <rcc rId="69368" sId="3" numFmtId="4">
    <oc r="D72">
      <v>65504.172870000002</v>
    </oc>
    <nc r="D72">
      <v>88964.73272</v>
    </nc>
  </rcc>
  <rcc rId="69369" sId="3" numFmtId="4">
    <oc r="D73">
      <v>240756.46002999999</v>
    </oc>
    <nc r="D73">
      <v>312801.72000999999</v>
    </nc>
  </rcc>
  <rcc rId="69370" sId="3" numFmtId="4">
    <oc r="C74">
      <v>35743.937120000002</v>
    </oc>
    <nc r="C74">
      <v>39332.729039999998</v>
    </nc>
  </rcc>
  <rcc rId="69371" sId="3" numFmtId="4">
    <oc r="D74">
      <v>15906.32553</v>
    </oc>
    <nc r="D74">
      <v>23933.88553</v>
    </nc>
  </rcc>
  <rcc rId="69372" sId="3" numFmtId="4">
    <oc r="D76">
      <v>-21.83625</v>
    </oc>
    <nc r="D76"/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69186" sId="3" numFmtId="4">
    <oc r="D15">
      <v>5.5815799999999998</v>
    </oc>
    <nc r="D15">
      <v>10.066459999999999</v>
    </nc>
  </rcc>
  <rcc rId="69187" sId="3" numFmtId="4">
    <oc r="C16">
      <v>2450</v>
    </oc>
    <nc r="C16">
      <v>2950</v>
    </nc>
  </rcc>
  <rcc rId="69188" sId="3" numFmtId="4">
    <oc r="D17">
      <v>2208.6488100000001</v>
    </oc>
    <nc r="D17">
      <v>2314.6039999999998</v>
    </nc>
  </rcc>
  <rcc rId="69189" sId="3" numFmtId="4">
    <oc r="D19">
      <v>1110.09663</v>
    </oc>
    <nc r="D19">
      <v>1142.11581</v>
    </nc>
  </rcc>
  <rcc rId="69190" sId="3" numFmtId="4">
    <oc r="D21">
      <v>102.67755</v>
    </oc>
    <nc r="D21">
      <v>117.64011000000001</v>
    </nc>
  </rcc>
  <rcc rId="69191" sId="3" numFmtId="4">
    <oc r="D22">
      <v>290.73041999999998</v>
    </oc>
    <nc r="D22">
      <v>327.77363000000003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69003" sId="3" numFmtId="4">
    <oc r="C90">
      <v>1312.44778</v>
    </oc>
    <nc r="C90">
      <v>1290.0785599999999</v>
    </nc>
  </rcc>
  <rcc rId="69004" sId="3" numFmtId="4">
    <oc r="D100">
      <v>101.05</v>
    </oc>
    <nc r="D100">
      <v>105.44</v>
    </nc>
  </rcc>
  <rfmt sheetId="3" sqref="F100">
    <dxf>
      <alignment vertical="bottom" readingOrder="0"/>
    </dxf>
  </rfmt>
  <rcc rId="69005" sId="3" numFmtId="4">
    <oc r="D109">
      <v>25.103999999999999</v>
    </oc>
    <nc r="D109">
      <v>325.10399999999998</v>
    </nc>
  </rcc>
  <rcc rId="69006" sId="3" numFmtId="4">
    <oc r="F109">
      <v>0</v>
    </oc>
    <nc r="F109">
      <v>25</v>
    </nc>
  </rcc>
  <rfmt sheetId="3" sqref="F109">
    <dxf>
      <alignment vertical="bottom" readingOrder="0"/>
    </dxf>
  </rfmt>
  <rfmt sheetId="3" sqref="F108">
    <dxf>
      <alignment vertical="bottom" readingOrder="0"/>
    </dxf>
  </rfmt>
  <rfmt sheetId="3" sqref="F110">
    <dxf>
      <alignment vertical="bottom" readingOrder="0"/>
    </dxf>
  </rfmt>
  <rcc rId="69007" sId="3" numFmtId="4">
    <oc r="D111">
      <v>9566.9245699999992</v>
    </oc>
    <nc r="D111">
      <v>14245.235860000001</v>
    </nc>
  </rcc>
  <rcc rId="69008" sId="3" numFmtId="4">
    <oc r="F111">
      <v>9248.6655900000005</v>
    </oc>
    <nc r="F111">
      <v>9885.0013299999991</v>
    </nc>
  </rcc>
  <rcc rId="69009" sId="3" numFmtId="4">
    <oc r="D113">
      <v>5591.39786</v>
    </oc>
    <nc r="D113">
      <v>5714.2873499999996</v>
    </nc>
  </rcc>
  <rcc rId="69010" sId="3" numFmtId="4">
    <oc r="F114">
      <v>5588.7669100000003</v>
    </oc>
    <nc r="F114">
      <v>0</v>
    </nc>
  </rcc>
  <rcc rId="69011" sId="3" numFmtId="4">
    <oc r="D118">
      <v>208.93156999999999</v>
    </oc>
    <nc r="D118">
      <v>417.77699000000001</v>
    </nc>
  </rcc>
  <rcc rId="69012" sId="3" numFmtId="4">
    <oc r="F118">
      <v>18</v>
    </oc>
    <nc r="F118">
      <v>163.4</v>
    </nc>
  </rcc>
  <rfmt sheetId="3" sqref="F118">
    <dxf>
      <alignment vertical="bottom" readingOrder="0"/>
    </dxf>
  </rfmt>
  <rcc rId="69013" sId="3" numFmtId="4">
    <oc r="D123">
      <v>213.29432</v>
    </oc>
    <nc r="D123">
      <v>281.32567999999998</v>
    </nc>
  </rcc>
  <rcc rId="69014" sId="3" numFmtId="4">
    <oc r="F123">
      <v>134.70878999999999</v>
    </oc>
    <nc r="F123">
      <v>217.68204</v>
    </nc>
  </rcc>
  <rfmt sheetId="3" sqref="F123">
    <dxf>
      <alignment vertical="bottom" readingOrder="0"/>
    </dxf>
  </rfmt>
  <rcc rId="69015" sId="3" numFmtId="4">
    <oc r="D126">
      <v>123.55687</v>
    </oc>
    <nc r="D126">
      <v>543.55687</v>
    </nc>
  </rcc>
  <rcc rId="69016" sId="3" numFmtId="4">
    <oc r="F126">
      <v>0</v>
    </oc>
    <nc r="F126">
      <v>139.68706</v>
    </nc>
  </rcc>
  <rfmt sheetId="3" sqref="F126">
    <dxf>
      <alignment vertical="bottom" readingOrder="0"/>
    </dxf>
  </rfmt>
  <rcc rId="69017" sId="3" numFmtId="4">
    <oc r="D130">
      <v>4415.5735199999999</v>
    </oc>
    <nc r="D130">
      <v>6337.4814200000001</v>
    </nc>
  </rcc>
  <rcc rId="69018" sId="3" numFmtId="4">
    <oc r="F130">
      <v>1322.194</v>
    </oc>
    <nc r="F130">
      <v>1459.5422900000001</v>
    </nc>
  </rcc>
  <rcc rId="69019" sId="3" numFmtId="4">
    <oc r="D134">
      <f>SUM(D135:D138)</f>
    </oc>
    <nc r="D134">
      <v>4189.9095100000004</v>
    </nc>
  </rcc>
  <rcc rId="69020" sId="3" numFmtId="4">
    <oc r="F134">
      <v>1401.07413</v>
    </oc>
    <nc r="F134">
      <v>3886.11465</v>
    </nc>
  </rcc>
  <rcc rId="69021" sId="3" numFmtId="4">
    <oc r="D135">
      <v>1437.5049899999999</v>
    </oc>
    <nc r="D135">
      <v>2149.08878</v>
    </nc>
  </rcc>
  <rcc rId="69022" sId="3" numFmtId="4">
    <oc r="F135">
      <v>1890.2796499999999</v>
    </oc>
    <nc r="F135">
      <v>2273.7384000000002</v>
    </nc>
  </rcc>
  <rcc rId="69023" sId="3" numFmtId="4">
    <oc r="D137">
      <v>1370.45363</v>
    </oc>
    <nc r="D137">
      <v>2040.8207299999999</v>
    </nc>
  </rcc>
  <rcc rId="69024" sId="3" numFmtId="4">
    <oc r="F137">
      <v>667.82304999999997</v>
    </oc>
    <nc r="F137">
      <v>1612.37625</v>
    </nc>
  </rcc>
  <rcc rId="69025" sId="3" numFmtId="4">
    <oc r="F139">
      <v>299.72435999999999</v>
    </oc>
    <nc r="F139">
      <v>2072.0318299999999</v>
    </nc>
  </rcc>
  <rcc rId="69026" sId="3" numFmtId="4">
    <oc r="D141">
      <v>755.08273999999994</v>
    </oc>
    <nc r="D141">
      <v>815.90189999999996</v>
    </nc>
  </rcc>
  <rcc rId="69027" sId="3" numFmtId="4">
    <oc r="D146">
      <v>176.35</v>
    </oc>
    <nc r="D146">
      <v>443.11336</v>
    </nc>
  </rcc>
  <rcc rId="69028" sId="3" numFmtId="4">
    <nc r="F146">
      <v>153.9</v>
    </nc>
  </rcc>
  <rcc rId="69029" sId="3" numFmtId="4">
    <oc r="D150">
      <v>5630.5510000000004</v>
    </oc>
    <nc r="D150">
      <v>6522.0940000000001</v>
    </nc>
  </rcc>
  <rcc rId="69030" sId="3" numFmtId="4">
    <oc r="F150">
      <v>4321.30656</v>
    </oc>
    <nc r="F150">
      <v>4612.91464</v>
    </nc>
  </rcc>
  <rcc rId="69031" sId="3" numFmtId="4">
    <oc r="D154">
      <v>1300.8720000000001</v>
    </oc>
    <nc r="D154">
      <v>3409.3879999999999</v>
    </nc>
  </rcc>
  <rcc rId="69032" sId="3" numFmtId="4">
    <oc r="F154">
      <v>2487.0452</v>
    </oc>
    <nc r="F154">
      <v>3319.3822</v>
    </nc>
  </rcc>
  <rcc rId="69033" sId="3" numFmtId="4">
    <oc r="D156">
      <v>8827.56</v>
    </oc>
    <nc r="D156">
      <v>11770.08</v>
    </nc>
  </rcc>
  <rcc rId="69034" sId="3" numFmtId="4">
    <oc r="F156">
      <v>6041.28</v>
    </oc>
    <nc r="F156">
      <v>8306.76</v>
    </nc>
  </rcc>
  <rcc rId="69035" sId="3" numFmtId="4">
    <oc r="D157">
      <v>5770.3579300000001</v>
    </oc>
    <nc r="D157">
      <v>7031.8795300000002</v>
    </nc>
  </rcc>
  <rcc rId="69036" sId="3" numFmtId="4">
    <oc r="F157">
      <v>5221.6487399999996</v>
    </oc>
    <nc r="F157">
      <v>6066.6487399999996</v>
    </nc>
  </rcc>
  <rcc rId="69037" sId="3" numFmtId="4">
    <oc r="D158">
      <v>748.62900000000002</v>
    </oc>
    <nc r="D158">
      <v>977.13495</v>
    </nc>
  </rcc>
  <rcc rId="69038" sId="3" numFmtId="4">
    <oc r="F158">
      <v>369.95708999999999</v>
    </oc>
    <nc r="F158">
      <v>581.91480000000001</v>
    </nc>
  </rcc>
  <rcc rId="69039" sId="3" numFmtId="4">
    <oc r="D160">
      <v>1049.7903200000001</v>
    </oc>
    <nc r="D160">
      <v>1780.51072</v>
    </nc>
  </rcc>
  <rcc rId="69040" sId="3" numFmtId="4">
    <oc r="F160">
      <v>798.68030999999996</v>
    </oc>
    <nc r="F160">
      <v>1064.90708</v>
    </nc>
  </rcc>
  <rcc rId="69041" sId="3" numFmtId="4">
    <oc r="D161">
      <v>0</v>
    </oc>
    <nc r="D161">
      <v>12.6</v>
    </nc>
  </rcc>
  <rcc rId="69042" sId="3" numFmtId="4">
    <oc r="D163">
      <v>4521.8477599999997</v>
    </oc>
    <nc r="D163">
      <v>5679.5072</v>
    </nc>
  </rcc>
  <rcc rId="69043" sId="3" numFmtId="4">
    <oc r="F163">
      <v>4269.7748000000001</v>
    </oc>
    <nc r="F163">
      <v>5211.6500599999999</v>
    </nc>
  </rcc>
  <rcc rId="69044" sId="3" numFmtId="4">
    <oc r="D164">
      <v>3973.8130000000001</v>
    </oc>
    <nc r="D164">
      <v>11125.301799999999</v>
    </nc>
  </rcc>
  <rcc rId="69045" sId="3" numFmtId="4">
    <oc r="F164">
      <v>4030.5590000000002</v>
    </oc>
    <nc r="F164">
      <v>4174.915</v>
    </nc>
  </rcc>
  <rcc rId="69046" sId="3" numFmtId="4">
    <oc r="D169">
      <v>0</v>
    </oc>
    <nc r="D169">
      <v>2687.5590000000002</v>
    </nc>
  </rcc>
  <rcc rId="69047" sId="3" numFmtId="4">
    <oc r="F169">
      <v>346.92</v>
    </oc>
    <nc r="F169">
      <v>581.49599999999998</v>
    </nc>
  </rcc>
  <rcc rId="69048" sId="3" numFmtId="4">
    <oc r="D173">
      <v>937.75531999999998</v>
    </oc>
    <nc r="D173">
      <v>2413.8843700000002</v>
    </nc>
  </rcc>
  <rcc rId="69049" sId="3" numFmtId="4">
    <oc r="F173">
      <v>84.132090000000005</v>
    </oc>
    <nc r="F173">
      <v>239.8</v>
    </nc>
  </rcc>
  <rcc rId="69050" sId="3" numFmtId="4">
    <oc r="D175">
      <v>423.23926</v>
    </oc>
    <nc r="D175">
      <v>483.23926</v>
    </nc>
  </rcc>
  <rcc rId="69051" sId="3" numFmtId="4">
    <oc r="D183">
      <v>87.273269999999997</v>
    </oc>
    <nc r="D183">
      <v>112.76537</v>
    </nc>
  </rcc>
  <rcc rId="69052" sId="3" numFmtId="4">
    <nc r="F183">
      <v>53.49362</v>
    </nc>
  </rcc>
  <rcc rId="69053" sId="3" numFmtId="4">
    <oc r="D186">
      <v>21478.248</v>
    </oc>
    <nc r="D186">
      <v>24457.125</v>
    </nc>
  </rcc>
  <rcc rId="69054" sId="3" numFmtId="4">
    <nc r="F186">
      <v>2407.4160000000002</v>
    </nc>
  </rcc>
  <rcc rId="69055" sId="3" numFmtId="4">
    <oc r="D191">
      <v>473.52199999999999</v>
    </oc>
    <nc r="D191">
      <v>579.37199999999996</v>
    </nc>
  </rcc>
  <rcc rId="69056" sId="3" numFmtId="4">
    <oc r="F191">
      <v>323.35000000000002</v>
    </oc>
    <nc r="F191">
      <v>358.17500000000001</v>
    </nc>
  </rcc>
  <rcc rId="69057" sId="3" numFmtId="4">
    <oc r="D193">
      <v>4570.7560000000003</v>
    </oc>
    <nc r="D193">
      <v>6820.06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69510" sId="3" numFmtId="4">
    <oc r="C106">
      <v>147972.55312999999</v>
    </oc>
    <nc r="C106">
      <v>156345.16782999999</v>
    </nc>
  </rcc>
  <rcc rId="69511" sId="3" numFmtId="4">
    <oc r="D106">
      <v>20384.627209999999</v>
    </oc>
    <nc r="D106">
      <v>42688.236490000003</v>
    </nc>
  </rcc>
  <rcc rId="69512" sId="3" numFmtId="4">
    <oc r="C116">
      <v>3095.4</v>
    </oc>
    <nc r="C116">
      <v>3145.4</v>
    </nc>
  </rcc>
  <rcc rId="69513" sId="3" numFmtId="4">
    <oc r="D116">
      <v>611.37593000000004</v>
    </oc>
    <nc r="D116">
      <v>796.59738000000004</v>
    </nc>
  </rcc>
  <rcc rId="69514" sId="3" numFmtId="4">
    <oc r="D122">
      <v>4021.22777</v>
    </oc>
    <nc r="D122">
      <v>4074.2508699999998</v>
    </nc>
  </rcc>
  <rcc rId="69515" sId="3" numFmtId="4">
    <oc r="C125">
      <v>93271.215939999995</v>
    </oc>
    <nc r="C125">
      <v>84288.992190000004</v>
    </nc>
  </rcc>
  <rcc rId="69516" sId="3" numFmtId="4">
    <oc r="D125">
      <v>8416.5194300000003</v>
    </oc>
    <nc r="D125">
      <v>8791.2107099999994</v>
    </nc>
  </rcc>
  <rcc rId="69517" sId="3" numFmtId="4">
    <oc r="C133">
      <v>93058.963529999994</v>
    </oc>
    <nc r="C133">
      <v>85636.669779999997</v>
    </nc>
  </rcc>
  <rcc rId="69518" sId="3" numFmtId="4">
    <oc r="D133">
      <v>5005.8114100000003</v>
    </oc>
    <nc r="D133">
      <v>13119.47299</v>
    </nc>
  </rcc>
  <rcc rId="69519" sId="3" numFmtId="4">
    <oc r="C143">
      <f>SUM(C145)</f>
    </oc>
    <nc r="C143">
      <v>1162.05</v>
    </nc>
  </rcc>
  <rcc rId="69520" sId="3" numFmtId="4">
    <oc r="D143">
      <v>443.11336</v>
    </oc>
    <nc r="D143">
      <v>648.91762000000006</v>
    </nc>
  </rcc>
  <rcc rId="69521" sId="3" numFmtId="4">
    <oc r="C145">
      <v>712.05</v>
    </oc>
    <nc r="C145">
      <v>1162.05</v>
    </nc>
  </rcc>
  <rcc rId="69522" sId="3" numFmtId="4">
    <oc r="D145">
      <v>443.11336</v>
    </oc>
    <nc r="D145">
      <v>648.91762000000006</v>
    </nc>
  </rcc>
  <rcc rId="69523" sId="3" numFmtId="4">
    <oc r="D149">
      <v>53607.103499999997</v>
    </oc>
    <nc r="D149">
      <v>69949.884959999996</v>
    </nc>
  </rcc>
  <rcc rId="69524" sId="3" numFmtId="4">
    <oc r="C153">
      <v>475811.49751000002</v>
    </oc>
    <nc r="C153">
      <v>486006.78350999998</v>
    </nc>
  </rcc>
  <rcc rId="69525" sId="3" numFmtId="4">
    <oc r="D153">
      <v>229680.15502000001</v>
    </oc>
    <nc r="D153">
      <v>297759.46302000002</v>
    </nc>
  </rcc>
  <rcc rId="69526" sId="3" numFmtId="4">
    <oc r="C162">
      <v>26204.288799999998</v>
    </oc>
    <nc r="C162">
      <v>26335.74783</v>
    </nc>
  </rcc>
  <rcc rId="69527" sId="3" numFmtId="4">
    <oc r="D167">
      <v>90.036900000000003</v>
    </oc>
    <nc r="D167">
      <v>122.0669</v>
    </nc>
  </rcc>
  <rcc rId="69528" sId="3" numFmtId="4">
    <oc r="D168">
      <v>4977.2692999999999</v>
    </oc>
    <nc r="D168">
      <v>6051.3213599999999</v>
    </nc>
  </rcc>
  <rcc rId="69529" sId="3" numFmtId="4">
    <oc r="C172">
      <v>106546.64463</v>
    </oc>
    <nc r="C172">
      <v>112459.58645</v>
    </nc>
  </rcc>
  <rcc rId="69530" sId="3" numFmtId="4">
    <oc r="D172">
      <v>36555.701780000003</v>
    </oc>
    <nc r="D172">
      <v>43597.883450000001</v>
    </nc>
  </rcc>
  <rcc rId="69531" sId="3" numFmtId="4">
    <oc r="C178">
      <v>1500</v>
    </oc>
    <nc r="C178">
      <v>2100</v>
    </nc>
  </rcc>
  <rcc rId="69532" sId="3" numFmtId="4">
    <oc r="D178">
      <v>1333.4586300000001</v>
    </oc>
    <nc r="D178">
      <v>1498.17742</v>
    </nc>
  </rcc>
  <rcc rId="69533" sId="3" numFmtId="4">
    <oc r="D180">
      <v>83.048649999999995</v>
    </oc>
    <nc r="D180">
      <v>99.658379999999994</v>
    </nc>
  </rcc>
  <rcc rId="69534" sId="3" numFmtId="4">
    <oc r="C181">
      <v>11268.688099999999</v>
    </oc>
    <nc r="C181">
      <v>11368.688099999999</v>
    </nc>
  </rcc>
  <rcc rId="69535" sId="3" numFmtId="4">
    <oc r="D181">
      <v>4502.3173800000004</v>
    </oc>
    <nc r="D181">
      <v>4517.0335100000002</v>
    </nc>
  </rcc>
  <rcc rId="69536" sId="3" numFmtId="4">
    <oc r="C184">
      <v>39242.423880000002</v>
    </oc>
    <nc r="C184">
      <v>39336.923880000002</v>
    </nc>
  </rcc>
  <rcc rId="69537" sId="3" numFmtId="4">
    <oc r="D188">
      <v>24.717020000000002</v>
    </oc>
    <nc r="D188">
      <v>30.786239999999999</v>
    </nc>
  </rcc>
  <rcc rId="69538" sId="3" numFmtId="4">
    <oc r="D190">
      <v>579.37199999999996</v>
    </oc>
    <nc r="D190">
      <v>710.24085000000002</v>
    </nc>
  </rcc>
  <rcc rId="69539" sId="3" numFmtId="4">
    <oc r="C194">
      <v>8427.0311999999994</v>
    </oc>
    <nc r="C194">
      <v>8529.7334699999992</v>
    </nc>
  </rcc>
  <rfmt sheetId="3" sqref="C199:D199">
    <dxf>
      <numFmt numFmtId="4" formatCode="#,##0.00"/>
    </dxf>
  </rfmt>
  <rfmt sheetId="3" sqref="C199:D199">
    <dxf>
      <numFmt numFmtId="187" formatCode="#,##0.000"/>
    </dxf>
  </rfmt>
  <rfmt sheetId="3" sqref="C199:D199">
    <dxf>
      <numFmt numFmtId="186" formatCode="#,##0.0000"/>
    </dxf>
  </rfmt>
  <rfmt sheetId="3" sqref="C199:D199">
    <dxf>
      <numFmt numFmtId="172" formatCode="#,##0.00000"/>
    </dxf>
  </rfmt>
  <rcc rId="69540" sId="3" numFmtId="4">
    <oc r="D96">
      <v>38417.879999999997</v>
    </oc>
    <nc r="D96">
      <v>38.417879999999997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69463" sId="3" numFmtId="4">
    <oc r="D84">
      <v>25610.570449999999</v>
    </oc>
    <nc r="D84">
      <v>32028.96846</v>
    </nc>
  </rcc>
  <rcc rId="69464" sId="3" numFmtId="4">
    <oc r="D86">
      <v>2932.85518</v>
    </oc>
    <nc r="D86">
      <v>3585.26055</v>
    </nc>
  </rcc>
  <rcc rId="69465" sId="3" numFmtId="4">
    <nc r="C87">
      <v>304.68099999999998</v>
    </nc>
  </rcc>
  <rcc rId="69466" sId="3" numFmtId="4">
    <nc r="D87">
      <v>304.68099999999998</v>
    </nc>
  </rcc>
  <rcc rId="69467" sId="3">
    <nc r="G87">
      <f>SUM(D87/F87*100)</f>
    </nc>
  </rcc>
  <rcc rId="69468" sId="3" numFmtId="4">
    <oc r="C88">
      <v>781.56011999999998</v>
    </oc>
    <nc r="C88">
      <v>4067.6288300000001</v>
    </nc>
  </rcc>
  <rcc rId="69469" sId="3" numFmtId="4">
    <oc r="C89">
      <v>42957.586560000003</v>
    </oc>
    <nc r="C89">
      <v>43322.703560000002</v>
    </nc>
  </rcc>
  <rcc rId="69470" sId="3" numFmtId="4">
    <oc r="D89">
      <v>16655.080969999999</v>
    </oc>
    <nc r="D89">
      <v>20389.507699999998</v>
    </nc>
  </rcc>
  <rcc rId="69471" sId="3" numFmtId="4">
    <oc r="D92">
      <v>540.96604000000002</v>
    </oc>
    <nc r="D92">
      <v>906.47619999999995</v>
    </nc>
  </rcc>
  <rcc rId="69472" sId="3" numFmtId="4">
    <oc r="D94">
      <v>480.73815000000002</v>
    </oc>
    <nc r="D94">
      <v>700.92</v>
    </nc>
  </rcc>
  <rcc rId="69473" sId="3" numFmtId="4">
    <oc r="C95">
      <v>3391.3029999999999</v>
    </oc>
    <nc r="C95">
      <v>3398.1</v>
    </nc>
  </rcc>
  <rcc rId="69474" sId="3" numFmtId="4">
    <oc r="D95">
      <v>1420.44082</v>
    </oc>
    <nc r="D95">
      <v>1699.87499</v>
    </nc>
  </rcc>
  <rcc rId="69475" sId="3" numFmtId="4">
    <oc r="C96">
      <v>23900.337869999999</v>
    </oc>
    <nc r="C96">
      <v>24614.092789999999</v>
    </nc>
  </rcc>
  <rcc rId="69476" sId="3" numFmtId="4">
    <oc r="D96">
      <v>28.36788</v>
    </oc>
    <nc r="D96">
      <v>38417.879999999997</v>
    </nc>
  </rcc>
  <rcc rId="69477" sId="3" numFmtId="4">
    <oc r="D97">
      <v>306.66618</v>
    </oc>
    <nc r="D97">
      <v>342.74617999999998</v>
    </nc>
  </rcc>
  <rcc rId="69478" sId="3" numFmtId="4">
    <oc r="D99">
      <v>165.44</v>
    </oc>
    <nc r="D99">
      <v>174.84</v>
    </nc>
  </rcc>
  <rcc rId="69479" sId="3" numFmtId="4">
    <oc r="D100">
      <v>105.44</v>
    </oc>
    <nc r="D100">
      <v>174.84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69335" sId="3" numFmtId="4">
    <oc r="D66">
      <v>121.03194999999999</v>
    </oc>
    <nc r="D66">
      <v>278.07082000000003</v>
    </nc>
  </rcc>
  <rcc rId="69336" sId="3" numFmtId="4">
    <oc r="C67">
      <v>14897.824549999999</v>
    </oc>
    <nc r="C67">
      <v>15343.91245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.xml><?xml version="1.0" encoding="utf-8"?>
<revisions xmlns="http://schemas.openxmlformats.org/spreadsheetml/2006/main" xmlns:r="http://schemas.openxmlformats.org/officeDocument/2006/relationships">
  <rcc rId="69148" sId="3">
    <oc r="D4" t="inlineStr">
      <is>
        <t>исполнено на 01.06.2024 г.</t>
      </is>
    </oc>
    <nc r="D4" t="inlineStr">
      <is>
        <t>исполнено на 01.07.2024 г.</t>
      </is>
    </nc>
  </rcc>
  <rcc rId="69149" sId="3">
    <oc r="D81" t="inlineStr">
      <is>
        <t>исполнено на 01.06.2024 г.</t>
      </is>
    </oc>
    <nc r="D81" t="inlineStr">
      <is>
        <t>исполнено на 01.07.2024 г.</t>
      </is>
    </nc>
  </rcc>
  <rcc rId="69150" sId="3" numFmtId="4">
    <oc r="D7">
      <v>65790.867259999999</v>
    </oc>
    <nc r="D7">
      <v>90095.05601</v>
    </nc>
  </rcc>
  <rcc rId="69151" sId="3" numFmtId="4">
    <oc r="D9">
      <v>4381.1073500000002</v>
    </oc>
    <nc r="D9">
      <v>4885.5842400000001</v>
    </nc>
  </rcc>
  <rcc rId="69152" sId="3" numFmtId="4">
    <oc r="D10">
      <v>24.376650000000001</v>
    </oc>
    <nc r="D10">
      <v>28.272220000000001</v>
    </nc>
  </rcc>
  <rcc rId="69153" sId="3" numFmtId="4">
    <oc r="D11">
      <v>4755.9297999999999</v>
    </oc>
    <nc r="D11">
      <v>5284.6466600000003</v>
    </nc>
  </rcc>
  <rcc rId="69154" sId="3" numFmtId="4">
    <oc r="D12">
      <v>-493.55887999999999</v>
    </oc>
    <nc r="D12">
      <v>-634.35170000000005</v>
    </nc>
  </rcc>
  <rcc rId="69155" sId="3" numFmtId="4">
    <oc r="D14">
      <v>15302.61506</v>
    </oc>
    <nc r="D14">
      <v>15809.29315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1.xml><?xml version="1.0" encoding="utf-8"?>
<revisions xmlns="http://schemas.openxmlformats.org/spreadsheetml/2006/main" xmlns:r="http://schemas.openxmlformats.org/officeDocument/2006/relationships">
  <rfmt sheetId="3" sqref="C68">
    <dxf>
      <numFmt numFmtId="4" formatCode="#,##0.00"/>
    </dxf>
  </rfmt>
  <rfmt sheetId="3" sqref="C68">
    <dxf>
      <numFmt numFmtId="187" formatCode="#,##0.000"/>
    </dxf>
  </rfmt>
  <rfmt sheetId="3" sqref="C68">
    <dxf>
      <numFmt numFmtId="186" formatCode="#,##0.0000"/>
    </dxf>
  </rfmt>
  <rfmt sheetId="3" sqref="C68">
    <dxf>
      <numFmt numFmtId="172" formatCode="#,##0.0000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2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69662" sId="3">
    <oc r="F4" t="inlineStr">
      <is>
        <t>исполнено на 01.06.2023г.</t>
      </is>
    </oc>
    <nc r="F4" t="inlineStr">
      <is>
        <t>исполнено на 01.07.2023г.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69298" sId="3" numFmtId="4">
    <oc r="D55">
      <v>2785.3322499999999</v>
    </oc>
    <nc r="D55">
      <v>3236.6263100000001</v>
    </nc>
  </rcc>
  <rcc rId="69299" sId="3" numFmtId="4">
    <oc r="D56">
      <v>85.219040000000007</v>
    </oc>
    <nc r="D56">
      <v>94.792439999999999</v>
    </nc>
  </rcc>
  <rcc rId="69300" sId="3" numFmtId="4">
    <oc r="C60">
      <v>1674</v>
    </oc>
    <nc r="C60">
      <v>1514</v>
    </nc>
  </rcc>
  <rcc rId="69301" sId="3" numFmtId="4">
    <oc r="D60">
      <v>520.87023999999997</v>
    </oc>
    <nc r="D60">
      <v>573.60688000000005</v>
    </nc>
  </rcc>
  <rcc rId="69302" sId="3" numFmtId="4">
    <oc r="C61">
      <v>302</v>
    </oc>
    <nc r="C61">
      <v>2952</v>
    </nc>
  </rcc>
  <rcc rId="69303" sId="3" numFmtId="4">
    <oc r="D61">
      <v>2629.6672199999998</v>
    </oc>
    <nc r="D61">
      <v>2634.6850899999999</v>
    </nc>
  </rcc>
  <rcc rId="69304" sId="3" numFmtId="4">
    <oc r="C64">
      <v>0</v>
    </oc>
    <nc r="C64">
      <v>160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c rId="69254" sId="3" numFmtId="4">
    <oc r="C29">
      <v>1600</v>
    </oc>
    <nc r="C29">
      <v>2910</v>
    </nc>
  </rcc>
  <rcc rId="69255" sId="3" numFmtId="4">
    <oc r="D29">
      <v>1310.40534</v>
    </oc>
    <nc r="D29">
      <v>1512.50146</v>
    </nc>
  </rcc>
  <rcc rId="69256" sId="3" numFmtId="4">
    <oc r="D30">
      <v>17.93</v>
    </oc>
    <nc r="D30">
      <v>19.13</v>
    </nc>
  </rcc>
  <rcc rId="69257" sId="3" numFmtId="4">
    <oc r="D41">
      <v>3742.5961000000002</v>
    </oc>
    <nc r="D41">
      <v>4079.9551799999999</v>
    </nc>
  </rcc>
  <rcc rId="69258" sId="3" numFmtId="4">
    <oc r="D42">
      <v>486.80759</v>
    </oc>
    <nc r="D42">
      <v>527.75018</v>
    </nc>
  </rcc>
  <rcc rId="69259" sId="3" numFmtId="4">
    <oc r="D43">
      <v>138.20421999999999</v>
    </oc>
    <nc r="D43">
      <v>178.31476000000001</v>
    </nc>
  </rcc>
  <rcc rId="69260" sId="3" numFmtId="4">
    <oc r="C45">
      <v>260</v>
    </oc>
    <nc r="C45">
      <v>600</v>
    </nc>
  </rcc>
  <rcc rId="69261" sId="3" numFmtId="4">
    <oc r="D47">
      <v>367.971</v>
    </oc>
    <nc r="D47">
      <v>442.02980000000002</v>
    </nc>
  </rcc>
  <rcc rId="69262" sId="3" numFmtId="4">
    <oc r="C49">
      <v>650</v>
    </oc>
    <nc r="C49">
      <v>1100</v>
    </nc>
  </rcc>
  <rcc rId="69263" sId="3" numFmtId="4">
    <oc r="D49">
      <v>1168.9922999999999</v>
    </oc>
    <nc r="D49">
      <v>1168.9928</v>
    </nc>
  </rcc>
  <rcc rId="69264" sId="3" numFmtId="4">
    <oc r="C52">
      <v>0</v>
    </oc>
    <nc r="C52">
      <v>700</v>
    </nc>
  </rcc>
  <rcc rId="69265" sId="3" numFmtId="4">
    <oc r="D52">
      <v>838.70100000000002</v>
    </oc>
    <nc r="D52">
      <v>875.85299999999995</v>
    </nc>
  </rcc>
  <rcc rId="69266" sId="3" numFmtId="4">
    <oc r="C51">
      <v>5426.9</v>
    </oc>
    <nc r="C51">
      <v>4726.8999999999996</v>
    </nc>
  </rcc>
  <rcc rId="69267" sId="3" numFmtId="4">
    <oc r="D51">
      <v>203.54611</v>
    </oc>
    <nc r="D51">
      <v>230.87443999999999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111.xml><?xml version="1.0" encoding="utf-8"?>
<revisions xmlns="http://schemas.openxmlformats.org/spreadsheetml/2006/main" xmlns:r="http://schemas.openxmlformats.org/officeDocument/2006/relationships">
  <rcc rId="69222" sId="3" numFmtId="4">
    <oc r="D24">
      <v>3093.7969699999999</v>
    </oc>
    <nc r="D24">
      <v>2950.7244599999999</v>
    </nc>
  </rcc>
  <rcc rId="69223" sId="3" numFmtId="4">
    <oc r="D25">
      <v>985.82150000000001</v>
    </oc>
    <nc r="D25">
      <v>1050.39834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c rId="69929" sId="3" numFmtId="4">
    <oc r="F172">
      <v>29942.85497</v>
    </oc>
    <nc r="F172">
      <v>33746.498229999997</v>
    </nc>
  </rcc>
  <rfmt sheetId="3" sqref="A178" start="0" length="2147483647">
    <dxf>
      <font>
        <sz val="18"/>
      </font>
    </dxf>
  </rfmt>
  <rcc rId="69930" sId="3" numFmtId="4">
    <oc r="F178">
      <v>455.15374000000003</v>
    </oc>
    <nc r="F178">
      <v>1084.16571</v>
    </nc>
  </rcc>
  <rcc rId="69931" sId="3" numFmtId="4">
    <oc r="F181">
      <v>3130.0063700000001</v>
    </oc>
    <nc r="F181">
      <v>4128.5361899999998</v>
    </nc>
  </rcc>
  <rcc rId="69932" sId="3" numFmtId="4">
    <oc r="F184">
      <v>18193.269899999999</v>
    </oc>
    <nc r="F184">
      <v>20890.924129999999</v>
    </nc>
  </rcc>
  <rcc rId="69933" sId="3" numFmtId="4">
    <oc r="F188">
      <v>24.344259999999998</v>
    </oc>
    <nc r="F188">
      <v>28.556319999999999</v>
    </nc>
  </rcc>
  <rcc rId="69934" sId="3" numFmtId="4">
    <oc r="F190">
      <v>358.17500000000001</v>
    </oc>
    <nc r="F190">
      <v>423.80500000000001</v>
    </nc>
  </rcc>
  <rcc rId="69935" sId="3" numFmtId="4">
    <oc r="F192">
      <v>5467.8419999999996</v>
    </oc>
    <nc r="F192">
      <v>6132.009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1111.xml><?xml version="1.0" encoding="utf-8"?>
<revisions xmlns="http://schemas.openxmlformats.org/spreadsheetml/2006/main" xmlns:r="http://schemas.openxmlformats.org/officeDocument/2006/relationships">
  <rcc rId="69571" sId="3" numFmtId="4">
    <oc r="D125">
      <v>8791.2107099999994</v>
    </oc>
    <nc r="D125">
      <v>9791.2107099999994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69786" sId="3" numFmtId="4">
    <oc r="F55">
      <v>5884.23459</v>
    </oc>
    <nc r="F55">
      <v>6309.3524900000002</v>
    </nc>
  </rcc>
  <rcc rId="69787" sId="3" numFmtId="4">
    <oc r="F56">
      <v>148.17019999999999</v>
    </oc>
    <nc r="F56">
      <v>175.69927000000001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c rId="69731" sId="3" numFmtId="4">
    <oc r="F19">
      <v>475.48432000000003</v>
    </oc>
    <nc r="F19">
      <v>578.08606999999995</v>
    </nc>
  </rcc>
  <rcc rId="69732" sId="3" numFmtId="4">
    <oc r="F20">
      <f>SUM(F21+F22)</f>
    </oc>
    <nc r="F20">
      <v>418.45087000000001</v>
    </nc>
  </rcc>
  <rcc rId="69733" sId="3" numFmtId="4">
    <oc r="F21">
      <v>75.69265</v>
    </oc>
    <nc r="F21">
      <v>198.79891000000001</v>
    </nc>
  </rcc>
  <rcc rId="69734" sId="3" numFmtId="4">
    <oc r="F22">
      <v>194.60884999999999</v>
    </oc>
    <nc r="F22">
      <v>219.65196</v>
    </nc>
  </rcc>
  <rcc rId="69735" sId="3" numFmtId="4">
    <oc r="F23">
      <f>SUM(F24:F25)</f>
    </oc>
    <nc r="F23">
      <v>4842.0921500000004</v>
    </nc>
  </rcc>
  <rcc rId="69736" sId="3" numFmtId="4">
    <oc r="F24">
      <v>1797.3459499999999</v>
    </oc>
    <nc r="F24">
      <v>4376.9396800000004</v>
    </nc>
  </rcc>
  <rcc rId="69737" sId="3" numFmtId="4">
    <oc r="F25">
      <v>398.25941</v>
    </oc>
    <nc r="F25">
      <v>465.15246999999999</v>
    </nc>
  </rcc>
  <rcc rId="69738" sId="3" numFmtId="4">
    <oc r="F29">
      <v>666.45734000000004</v>
    </oc>
    <nc r="F29">
      <v>926.30873999999994</v>
    </nc>
  </rcc>
  <rcc rId="69739" sId="3" numFmtId="4">
    <oc r="F30">
      <v>16.03</v>
    </oc>
    <nc r="F30">
      <v>21.28</v>
    </nc>
  </rcc>
  <rfmt sheetId="3" sqref="F31" start="0" length="0">
    <dxf>
      <border outline="0">
        <left style="thin">
          <color indexed="64"/>
        </left>
      </border>
    </dxf>
  </rfmt>
  <rcc rId="69740" sId="3" numFmtId="4">
    <oc r="F41">
      <v>4296.7003599999998</v>
    </oc>
    <nc r="F41">
      <v>5054.7255100000002</v>
    </nc>
  </rcc>
  <rcc rId="69741" sId="3" numFmtId="4">
    <oc r="F42">
      <v>496.93668000000002</v>
    </oc>
    <nc r="F42">
      <v>530.78998000000001</v>
    </nc>
  </rcc>
  <rcc rId="69742" sId="3" numFmtId="4">
    <oc r="F43">
      <v>165.76478</v>
    </oc>
    <nc r="F43">
      <v>206.26721000000001</v>
    </nc>
  </rcc>
  <rcc rId="69743" sId="3" numFmtId="4">
    <oc r="F47">
      <v>225.11768000000001</v>
    </oc>
    <nc r="F47">
      <v>286.61630000000002</v>
    </nc>
  </rcc>
  <rcc rId="69744" sId="3" numFmtId="4">
    <oc r="F49">
      <v>310.84863000000001</v>
    </oc>
    <nc r="F49">
      <v>310.84913</v>
    </nc>
  </rcc>
  <rcc rId="69745" sId="3" numFmtId="4">
    <oc r="F51">
      <v>229.35409000000001</v>
    </oc>
    <nc r="F51">
      <v>292.84267999999997</v>
    </nc>
  </rcc>
  <rcc rId="69746" sId="3" numFmtId="4">
    <nc r="F52">
      <v>0</v>
    </nc>
  </rcc>
  <rcc rId="69747" sId="3" numFmtId="4">
    <oc r="F60">
      <v>352.55622</v>
    </oc>
    <nc r="F60">
      <v>422.60908999999998</v>
    </nc>
  </rcc>
  <rcc rId="69748" sId="3" numFmtId="4">
    <oc r="F61">
      <v>69.836519999999993</v>
    </oc>
    <nc r="F61">
      <v>76.755750000000006</v>
    </nc>
  </rcc>
  <rcc rId="69749" sId="3" numFmtId="4">
    <oc r="F64">
      <v>313.49900000000002</v>
    </oc>
    <nc r="F64">
      <v>393.49900000000002</v>
    </nc>
  </rcc>
  <rcc rId="69750" sId="3" numFmtId="4">
    <oc r="F66">
      <v>34.585619999999999</v>
    </oc>
    <nc r="F66">
      <v>24.968219999999999</v>
    </nc>
  </rcc>
  <rcc rId="69751" sId="3" numFmtId="4">
    <oc r="F67">
      <v>6331.1028200000001</v>
    </oc>
    <nc r="F67">
      <v>7541.0157900000004</v>
    </nc>
  </rcc>
  <rcc rId="69752" sId="3" numFmtId="4">
    <oc r="F70">
      <v>58385.599999999999</v>
    </oc>
    <nc r="F70">
      <v>74900.600000000006</v>
    </nc>
  </rcc>
  <rcc rId="69753" sId="3" numFmtId="4">
    <oc r="F72">
      <v>70148.782439999995</v>
    </oc>
    <nc r="F72">
      <v>75471.834640000001</v>
    </nc>
  </rcc>
  <rcc rId="69754" sId="3" numFmtId="4">
    <oc r="F73">
      <v>169273.05064</v>
    </oc>
    <nc r="F73">
      <v>260846.26592999999</v>
    </nc>
  </rcc>
  <rcc rId="69755" sId="3" numFmtId="4">
    <oc r="F74">
      <v>14368.667079999999</v>
    </oc>
    <nc r="F74">
      <v>17046.5661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c rId="69878" sId="3" numFmtId="4">
    <oc r="F84">
      <v>21265.78947</v>
    </oc>
    <nc r="F84">
      <v>26816.901610000001</v>
    </nc>
  </rcc>
  <rcc rId="69879" sId="3" numFmtId="4">
    <oc r="F86">
      <v>2751.9206899999999</v>
    </oc>
    <nc r="F86">
      <v>3290.3609799999999</v>
    </nc>
  </rcc>
  <rcc rId="69880" sId="3" numFmtId="4">
    <oc r="F87">
      <v>0</v>
    </oc>
    <nc r="F87">
      <v>370.565</v>
    </nc>
  </rcc>
  <rcc rId="69881" sId="3" numFmtId="4">
    <oc r="F89">
      <v>12876.22688</v>
    </oc>
    <nc r="F89">
      <v>13506.098889999999</v>
    </nc>
  </rcc>
  <rcc rId="69882" sId="3" numFmtId="4">
    <oc r="F92">
      <v>616.43592000000001</v>
    </oc>
    <nc r="F92">
      <v>838.61649</v>
    </nc>
  </rcc>
  <rcc rId="69883" sId="3" numFmtId="4">
    <oc r="F94">
      <v>463.23151000000001</v>
    </oc>
    <nc r="F94">
      <v>641.26499999999999</v>
    </nc>
  </rcc>
  <rcc rId="69884" sId="3" numFmtId="4">
    <oc r="F95">
      <v>1183.56034</v>
    </oc>
    <nc r="F95">
      <v>1490.9807800000001</v>
    </nc>
  </rcc>
  <rcc rId="69885" sId="3" numFmtId="4">
    <oc r="F96">
      <v>26.034289999999999</v>
    </oc>
    <nc r="F96">
      <v>28.734290000000001</v>
    </nc>
  </rcc>
  <rcc rId="69886" sId="3" numFmtId="4">
    <oc r="F97">
      <v>71.099999999999994</v>
    </oc>
    <nc r="F97">
      <v>78.8</v>
    </nc>
  </rcc>
  <rcc rId="69887" sId="3" numFmtId="4">
    <oc r="F106">
      <v>15865.82567</v>
    </oc>
    <nc r="F106">
      <v>21505.09636</v>
    </nc>
  </rcc>
  <rcc rId="69888" sId="3" numFmtId="4">
    <oc r="F116">
      <v>388.25400000000002</v>
    </oc>
    <nc r="F116">
      <v>799.61689999999999</v>
    </nc>
  </rcc>
  <rcc rId="69889" sId="3" numFmtId="4">
    <oc r="F122">
      <v>217.68204</v>
    </oc>
    <nc r="F122">
      <v>365.39839000000001</v>
    </nc>
  </rcc>
  <rcc rId="69890" sId="3" numFmtId="4">
    <oc r="F125">
      <v>1599.2293500000001</v>
    </oc>
    <nc r="F125">
      <v>2615.1749100000002</v>
    </nc>
  </rcc>
  <rcc rId="69891" sId="3" numFmtId="4">
    <oc r="F133">
      <v>5958.1464800000003</v>
    </oc>
    <nc r="F133">
      <v>7323.7390299999997</v>
    </nc>
  </rcc>
  <rcc rId="69892" sId="3" numFmtId="4">
    <oc r="F145">
      <v>153.9</v>
    </oc>
    <nc r="F145">
      <v>380.22674999999998</v>
    </nc>
  </rcc>
  <rcc rId="69893" sId="3" numFmtId="4">
    <oc r="F149">
      <v>50048.729140000003</v>
    </oc>
    <nc r="F149">
      <v>67464.685140000001</v>
    </nc>
  </rcc>
  <rcc rId="69894" sId="3" numFmtId="4">
    <oc r="F153">
      <v>172501.43943</v>
    </oc>
    <nc r="F153">
      <v>253305.97226000001</v>
    </nc>
  </rcc>
  <rcc rId="69895" sId="3" numFmtId="4">
    <oc r="F162">
      <v>14195.100060000001</v>
    </oc>
    <nc r="F162">
      <v>16223.04263</v>
    </nc>
  </rcc>
  <rcc rId="69896" sId="3" numFmtId="4">
    <oc r="F166">
      <v>24.6</v>
    </oc>
    <nc r="F166">
      <v>38.6</v>
    </nc>
  </rcc>
  <rcc rId="69897" sId="3" numFmtId="4">
    <oc r="F167">
      <v>74.313800000000001</v>
    </oc>
    <nc r="F167">
      <v>126.2092</v>
    </nc>
  </rcc>
  <rcc rId="69898" sId="3" numFmtId="4">
    <oc r="F168">
      <v>2021.26647</v>
    </oc>
    <nc r="F168">
      <v>4272.5484800000004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7111.xml><?xml version="1.0" encoding="utf-8"?>
<revisions xmlns="http://schemas.openxmlformats.org/spreadsheetml/2006/main" xmlns:r="http://schemas.openxmlformats.org/officeDocument/2006/relationships">
  <rcc rId="69693" sId="3" numFmtId="4">
    <oc r="F7">
      <v>44792.297910000001</v>
    </oc>
    <nc r="F7">
      <v>59056.861980000001</v>
    </nc>
  </rcc>
  <rcc rId="69694" sId="3" numFmtId="4">
    <oc r="F9">
      <v>3912.36661</v>
    </oc>
    <nc r="F9">
      <v>4722.4044599999997</v>
    </nc>
  </rcc>
  <rcc rId="69695" sId="3" numFmtId="4">
    <oc r="F10">
      <v>19.412369999999999</v>
    </oc>
    <nc r="F10">
      <v>24.546690000000002</v>
    </nc>
  </rcc>
  <rcc rId="69696" sId="3" numFmtId="4">
    <oc r="F11">
      <v>4143.6337000000003</v>
    </oc>
    <nc r="F11">
      <v>5002.9981500000004</v>
    </nc>
  </rcc>
  <rcc rId="69697" sId="3" numFmtId="4">
    <oc r="F12">
      <v>-487.46820000000002</v>
    </oc>
    <nc r="F12">
      <v>-589.21537999999998</v>
    </nc>
  </rcc>
  <rcc rId="69698" sId="3" numFmtId="4">
    <oc r="F14">
      <v>10582.513870000001</v>
    </oc>
    <nc r="F14">
      <v>10897.30702</v>
    </nc>
  </rcc>
  <rcc rId="69699" sId="3" numFmtId="4">
    <oc r="F16">
      <v>1978.3315399999999</v>
    </oc>
    <nc r="F16">
      <v>2025.5919899999999</v>
    </nc>
  </rcc>
  <rcc rId="69700" sId="3" numFmtId="4">
    <oc r="F17">
      <v>620.28696000000002</v>
    </oc>
    <nc r="F17">
      <v>618.75522999999998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c rId="70062" sId="3" numFmtId="4">
    <oc r="C146">
      <v>650</v>
    </oc>
    <nc r="C146">
      <v>1100</v>
    </nc>
  </rcc>
  <rcc rId="70063" sId="3" numFmtId="4">
    <oc r="D146">
      <v>443.11336</v>
    </oc>
    <nc r="D146">
      <v>648.91700000000003</v>
    </nc>
  </rcc>
  <rcc rId="70064" sId="3" numFmtId="4">
    <oc r="F146">
      <v>153.9</v>
    </oc>
    <nc r="F146">
      <v>380.226</v>
    </nc>
  </rcc>
  <rcc rId="70065" sId="3" numFmtId="4">
    <oc r="D150">
      <v>6522.0940000000001</v>
    </oc>
    <nc r="D150">
      <v>7863.7150000000001</v>
    </nc>
  </rcc>
  <rcc rId="70066" sId="3" numFmtId="4">
    <oc r="F150">
      <v>4612.91464</v>
    </oc>
    <nc r="F150">
      <v>6138.67</v>
    </nc>
  </rcc>
  <rcc rId="70067" sId="3" numFmtId="4">
    <oc r="D151">
      <v>257.5095</v>
    </oc>
    <nc r="D151">
      <v>534.96900000000005</v>
    </nc>
  </rcc>
  <rcc rId="70068" sId="3" numFmtId="4">
    <oc r="C154">
      <v>28189.200000000001</v>
    </oc>
    <nc r="C154">
      <v>35344.15</v>
    </nc>
  </rcc>
  <rcc rId="70069" sId="3" numFmtId="4">
    <oc r="D154">
      <v>3409.3879999999999</v>
    </oc>
    <nc r="D154">
      <v>3559.3879999999999</v>
    </nc>
  </rcc>
  <rcc rId="70070" sId="3" numFmtId="4">
    <oc r="F154">
      <v>3319.3822</v>
    </oc>
    <nc r="F154">
      <v>3649.3820000000001</v>
    </nc>
  </rcc>
  <rcc rId="70071" sId="3" numFmtId="4">
    <oc r="C156">
      <v>20155</v>
    </oc>
    <nc r="C156">
      <v>23080</v>
    </nc>
  </rcc>
  <rcc rId="70072" sId="3" numFmtId="4">
    <oc r="D156">
      <v>11770.08</v>
    </oc>
    <nc r="D156">
      <v>19797.64</v>
    </nc>
  </rcc>
  <rcc rId="70073" sId="3" numFmtId="4">
    <oc r="F156">
      <v>8306.76</v>
    </oc>
    <nc r="F156">
      <v>10067.932000000001</v>
    </nc>
  </rcc>
  <rcc rId="70074" sId="3" numFmtId="4">
    <oc r="F157">
      <v>6066.6487399999996</v>
    </oc>
    <nc r="F157">
      <v>6336.1450000000004</v>
    </nc>
  </rcc>
  <rcc rId="70075" sId="3" numFmtId="4">
    <oc r="D159">
      <v>0</v>
    </oc>
    <nc r="D159">
      <v>2500</v>
    </nc>
  </rcc>
  <rcc rId="70076" sId="3" numFmtId="4">
    <oc r="F160">
      <v>1064.90708</v>
    </oc>
    <nc r="F160">
      <v>1855.519</v>
    </nc>
  </rcc>
  <rcc rId="70077" sId="3" numFmtId="4">
    <nc r="F161">
      <v>11.4</v>
    </nc>
  </rcc>
  <rcc rId="70078" sId="3" numFmtId="4">
    <oc r="F163">
      <v>5211.6500599999999</v>
    </oc>
    <nc r="F163">
      <v>5709.8620000000001</v>
    </nc>
  </rcc>
  <rcc rId="70079" sId="3" numFmtId="4">
    <oc r="F164">
      <v>4174.915</v>
    </oc>
    <nc r="F164">
      <v>5040.4780000000001</v>
    </nc>
  </rcc>
  <rcc rId="70080" sId="3" numFmtId="4">
    <oc r="F165">
      <v>3721.319</v>
    </oc>
    <nc r="F165">
      <v>4385.4859999999999</v>
    </nc>
  </rcc>
  <rcc rId="70081" sId="3" numFmtId="4">
    <oc r="D169">
      <v>2687.5590000000002</v>
    </oc>
    <nc r="D169">
      <v>2913.5590000000002</v>
    </nc>
  </rcc>
  <rcc rId="70082" sId="3" numFmtId="4">
    <oc r="F169">
      <v>581.49599999999998</v>
    </oc>
    <nc r="F169">
      <v>2555.8339999999998</v>
    </nc>
  </rcc>
  <rcc rId="70083" sId="3" numFmtId="4">
    <oc r="D170">
      <v>0</v>
    </oc>
    <nc r="D170">
      <v>362.50599999999997</v>
    </nc>
  </rcc>
  <rcc rId="70084" sId="3" numFmtId="4">
    <oc r="C173">
      <v>9990.3459999999995</v>
    </oc>
    <nc r="C173">
      <v>14117.346</v>
    </nc>
  </rcc>
  <rcc rId="70085" sId="3" numFmtId="4">
    <oc r="D173">
      <v>2413.8843700000002</v>
    </oc>
    <nc r="D173">
      <v>2635.4160000000002</v>
    </nc>
  </rcc>
  <rcc rId="70086" sId="3" numFmtId="4">
    <oc r="F173">
      <v>239.8</v>
    </oc>
    <nc r="F173">
      <v>332.04</v>
    </nc>
  </rcc>
  <rcc rId="70087" sId="3" numFmtId="4">
    <oc r="C175">
      <v>3138.55</v>
    </oc>
    <nc r="C175">
      <v>4335.75</v>
    </nc>
  </rcc>
  <rcc rId="70088" sId="3" numFmtId="4">
    <oc r="D175">
      <v>483.23926</v>
    </oc>
    <nc r="D175">
      <v>2265.2840000000001</v>
    </nc>
  </rcc>
  <rcc rId="70089" sId="3" numFmtId="4">
    <oc r="F175">
      <v>230</v>
    </oc>
    <nc r="F175">
      <v>470</v>
    </nc>
  </rcc>
  <rcc rId="70090" sId="3" numFmtId="4">
    <oc r="C183">
      <v>114.4</v>
    </oc>
    <nc r="C183">
      <v>214.4</v>
    </nc>
  </rcc>
  <rcc rId="70091" sId="3" numFmtId="4">
    <oc r="D183">
      <v>112.76537</v>
    </oc>
    <nc r="D183">
      <v>114.4</v>
    </nc>
  </rcc>
  <rcc rId="70092" sId="3" numFmtId="4">
    <oc r="F183">
      <v>53.49362</v>
    </oc>
    <nc r="F183">
      <v>66.09</v>
    </nc>
  </rcc>
  <rfmt sheetId="3" sqref="F183">
    <dxf>
      <alignment vertical="bottom" readingOrder="0"/>
    </dxf>
  </rfmt>
  <rfmt sheetId="3" sqref="F183" start="0" length="2147483647">
    <dxf>
      <font>
        <i/>
      </font>
    </dxf>
  </rfmt>
  <rfmt sheetId="3" sqref="F185:F187" start="0" length="2147483647">
    <dxf>
      <font>
        <i/>
      </font>
    </dxf>
  </rfmt>
  <rcc rId="70093" sId="3" numFmtId="4">
    <oc r="D191">
      <v>579.37199999999996</v>
    </oc>
    <nc r="D191">
      <v>710.24</v>
    </nc>
  </rcc>
  <rcc rId="70094" sId="3" numFmtId="4">
    <oc r="F191">
      <v>358.17500000000001</v>
    </oc>
    <nc r="F191">
      <v>423.80500000000001</v>
    </nc>
  </rcc>
  <rfmt sheetId="3" sqref="F191" start="0" length="2147483647">
    <dxf>
      <font>
        <i/>
      </font>
    </dxf>
  </rfmt>
  <rcc rId="70095" sId="3" numFmtId="4">
    <oc r="F193">
      <v>3649.66</v>
    </oc>
    <nc r="F193">
      <v>4313.8270000000002</v>
    </nc>
  </rcc>
  <rfmt sheetId="3" sqref="F193" start="0" length="2147483647">
    <dxf>
      <font>
        <i/>
      </font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11.xml><?xml version="1.0" encoding="utf-8"?>
<revisions xmlns="http://schemas.openxmlformats.org/spreadsheetml/2006/main" xmlns:r="http://schemas.openxmlformats.org/officeDocument/2006/relationships">
  <rcc rId="69996" sId="3" numFmtId="4">
    <oc r="C107">
      <v>44333.561589999998</v>
    </oc>
    <nc r="C107">
      <v>48449.336000000003</v>
    </nc>
  </rcc>
  <rcc rId="69997" sId="3" numFmtId="4">
    <oc r="D111">
      <v>14245.235860000001</v>
    </oc>
    <nc r="D111">
      <v>15829.73158</v>
    </nc>
  </rcc>
  <rcc rId="69998" sId="3" numFmtId="4">
    <oc r="F111">
      <v>9885.0013299999991</v>
    </oc>
    <nc r="F111">
      <v>13163.31812</v>
    </nc>
  </rcc>
  <rcc rId="69999" sId="3" numFmtId="4">
    <oc r="C112">
      <v>15775.09578</v>
    </oc>
    <nc r="C112">
      <v>20031.93519</v>
    </nc>
  </rcc>
  <rcc rId="70000" sId="3" numFmtId="4">
    <oc r="D114">
      <v>0</v>
    </oc>
    <nc r="D114">
      <v>1217.8494599999999</v>
    </nc>
  </rcc>
  <rcc rId="70001" sId="3" numFmtId="4">
    <oc r="F114">
      <v>0</v>
    </oc>
    <nc r="F114">
      <v>1158.16608</v>
    </nc>
  </rcc>
  <rcc rId="70002" sId="3" numFmtId="4">
    <oc r="C115">
      <v>32258.1</v>
    </oc>
    <nc r="C115">
      <v>33475.949999999997</v>
    </nc>
  </rcc>
  <rcc rId="70003" sId="3" numFmtId="4">
    <oc r="D115">
      <v>0</v>
    </oc>
    <nc r="D115">
      <v>20719.113560000002</v>
    </nc>
  </rcc>
  <rcc rId="70004" sId="3" numFmtId="4">
    <oc r="F109">
      <v>25</v>
    </oc>
    <nc r="F109">
      <v>85</v>
    </nc>
  </rcc>
  <rcc rId="70005" sId="3" numFmtId="4">
    <oc r="F108">
      <v>0</v>
    </oc>
    <nc r="F108">
      <f>SUM(F109:F115)</f>
    </nc>
  </rcc>
  <rfmt sheetId="3" sqref="F108" start="0" length="2147483647">
    <dxf>
      <font>
        <b/>
      </font>
    </dxf>
  </rfmt>
  <rcc rId="70006" sId="3" numFmtId="4">
    <oc r="D118">
      <v>417.77699000000001</v>
    </oc>
    <nc r="D118">
      <v>530.60392999999999</v>
    </nc>
  </rcc>
  <rcc rId="70007" sId="3" numFmtId="4">
    <oc r="F118">
      <v>163.4</v>
    </oc>
    <nc r="F118">
      <v>286.5</v>
    </nc>
  </rcc>
  <rcc rId="70008" sId="3" numFmtId="4">
    <oc r="C119">
      <v>1172.4000000000001</v>
    </oc>
    <nc r="C119">
      <v>922.4</v>
    </nc>
  </rcc>
  <rcc rId="70009" sId="3" numFmtId="4">
    <oc r="F120">
      <v>224.85400000000001</v>
    </oc>
    <nc r="F120">
      <v>251.50399999999999</v>
    </nc>
  </rcc>
  <rcc rId="70010" sId="3" numFmtId="4">
    <oc r="D123">
      <v>281.32567999999998</v>
    </oc>
    <nc r="D123">
      <v>334.34877999999998</v>
    </nc>
  </rcc>
  <rcc rId="70011" sId="3" numFmtId="4">
    <oc r="F123">
      <v>217.68204</v>
    </oc>
    <nc r="F123">
      <v>365.39839000000001</v>
    </nc>
  </rcc>
  <rcc rId="70012" sId="3" numFmtId="4">
    <oc r="D124">
      <v>1219.43424</v>
    </oc>
    <nc r="D124">
      <v>3739.90209</v>
    </nc>
  </rcc>
  <rcc rId="70013" sId="3" numFmtId="4">
    <oc r="D126">
      <v>543.55687</v>
    </oc>
    <nc r="D126">
      <v>548.029</v>
    </nc>
  </rcc>
  <rcc rId="70014" sId="3" numFmtId="4">
    <oc r="F126">
      <v>139.68706</v>
    </oc>
    <nc r="F126">
      <v>273.86434000000003</v>
    </nc>
  </rcc>
  <rcc rId="70015" sId="3" numFmtId="4">
    <oc r="C127">
      <v>9469.6090000000004</v>
    </oc>
    <nc r="C127">
      <v>7994.3689999999997</v>
    </nc>
  </rcc>
  <rcc rId="70016" sId="3" numFmtId="4">
    <oc r="C128">
      <v>10000</v>
    </oc>
    <nc r="C128">
      <v>7000</v>
    </nc>
  </rcc>
  <rcc rId="70017" sId="3" numFmtId="4">
    <oc r="C129">
      <v>2264.3868000000002</v>
    </oc>
    <nc r="C129">
      <v>38.009</v>
    </nc>
  </rcc>
  <rcc rId="70018" sId="3" numFmtId="4">
    <oc r="F129">
      <v>0</v>
    </oc>
    <nc r="F129">
      <v>90.363</v>
    </nc>
  </rcc>
  <rcc rId="70019" sId="3" numFmtId="4">
    <oc r="C130">
      <v>16532.448850000001</v>
    </oc>
    <nc r="C130">
      <v>17232.448850000001</v>
    </nc>
  </rcc>
  <rcc rId="70020" sId="3" numFmtId="4">
    <oc r="D130">
      <v>6337.4814200000001</v>
    </oc>
    <nc r="D130">
      <v>7707.7</v>
    </nc>
  </rcc>
  <rcc rId="70021" sId="3" numFmtId="4">
    <oc r="F130">
      <v>1459.5422900000001</v>
    </oc>
    <nc r="F130">
      <v>2250.9470000000001</v>
    </nc>
  </rcc>
  <rcc rId="70022" sId="3" numFmtId="4">
    <oc r="C132">
      <v>48929.57129</v>
    </oc>
    <nc r="C132">
      <v>45405.978419999999</v>
    </nc>
  </rcc>
  <rcc rId="70023" sId="3" numFmtId="4">
    <oc r="D135">
      <v>2149.08878</v>
    </oc>
    <nc r="D135">
      <v>2459.415</v>
    </nc>
  </rcc>
  <rcc rId="70024" sId="3" numFmtId="4">
    <oc r="F135">
      <v>2273.7384000000002</v>
    </oc>
    <nc r="F135">
      <v>2810.9180000000001</v>
    </nc>
  </rcc>
  <rcc rId="70025" sId="3" numFmtId="4">
    <oc r="C136">
      <v>1428.934</v>
    </oc>
    <nc r="C136">
      <v>899.3</v>
    </nc>
  </rcc>
  <rcc rId="70026" sId="3" numFmtId="4">
    <oc r="C137">
      <v>14004.487220000001</v>
    </oc>
    <nc r="C137">
      <v>14604.159</v>
    </nc>
  </rcc>
  <rcc rId="70027" sId="3" numFmtId="4">
    <oc r="D137">
      <v>2040.8207299999999</v>
    </oc>
    <nc r="D137">
      <v>2938.933</v>
    </nc>
  </rcc>
  <rcc rId="70028" sId="3" numFmtId="4">
    <oc r="F137">
      <v>1612.37625</v>
    </oc>
    <nc r="F137">
      <v>2440.788</v>
    </nc>
  </rcc>
  <rcc rId="70029" sId="3" numFmtId="4">
    <oc r="C139">
      <v>53248.119509999997</v>
    </oc>
    <nc r="C139">
      <v>51624.666389999999</v>
    </nc>
  </rcc>
  <rcc rId="70030" sId="3" numFmtId="4">
    <oc r="D139">
      <v>0</v>
    </oc>
    <nc r="D139">
      <v>6809.8332200000004</v>
    </nc>
  </rcc>
  <rcc rId="70031" sId="3" numFmtId="4">
    <oc r="C140">
      <v>5964.2755999999999</v>
    </oc>
    <nc r="C140">
      <v>4622.3130000000001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район!$A$1:$G$202</formula>
    <oldFormula>район!$A$1:$G$202</oldFormula>
  </rdn>
  <rdn rId="0" localSheetId="3" customView="1" name="Z_61528DAC_5C4C_48F4_ADE2_8A724B05A086_.wvu.Rows" hidden="1" oldHidden="1">
    <formula>район!$198:$198</formula>
    <oldFormula>район!$198:$198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276" sId="3">
    <oc r="F81" t="inlineStr">
      <is>
        <t>исполнено на 01.06.2023г.</t>
      </is>
    </oc>
    <nc r="F81" t="inlineStr">
      <is>
        <t>исполнено на 01.07.2023г.</t>
      </is>
    </nc>
  </rcc>
  <rcc rId="70277" sId="3">
    <oc r="A2" t="inlineStr">
      <is>
        <t xml:space="preserve">                                                                                Моргаушского муниципального округа на 01.06.2024 г.</t>
      </is>
    </oc>
    <nc r="A2" t="inlineStr">
      <is>
        <t xml:space="preserve">                                                                                Моргаушского муниципального округа на 01.07.2024 г.</t>
      </is>
    </nc>
  </rcc>
  <rdn rId="0" localSheetId="1" customView="1" name="Z_4D5E6ACC_9055_4DE9_8C20_9052F3C35D19_.wvu.PrintArea" hidden="1" oldHidden="1">
    <formula>Консол!$A$1:$H$52</formula>
  </rdn>
  <rdn rId="0" localSheetId="1" customView="1" name="Z_4D5E6ACC_9055_4DE9_8C20_9052F3C35D19_.wvu.Rows" hidden="1" oldHidden="1">
    <formula>Консол!$45:$47</formula>
  </rdn>
  <rdn rId="0" localSheetId="2" customView="1" name="Z_4D5E6ACC_9055_4DE9_8C20_9052F3C35D19_.wvu.PrintArea" hidden="1" oldHidden="1">
    <formula>Справка!$A$1:$FE$31</formula>
  </rdn>
  <rdn rId="0" localSheetId="2" customView="1" name="Z_4D5E6ACC_9055_4DE9_8C20_9052F3C35D19_.wvu.Cols" hidden="1" oldHidden="1">
    <formula>Справка!$BB:$BD,Справка!$BH:$BJ,Справка!$BN:$BP,Справка!$BR:$BS,Справка!$BZ:$CE,Справка!$DD:$DL</formula>
  </rdn>
  <rdn rId="0" localSheetId="3" customView="1" name="Z_4D5E6ACC_9055_4DE9_8C20_9052F3C35D19_.wvu.PrintArea" hidden="1" oldHidden="1">
    <formula>район!$A$1:$G$202</formula>
  </rdn>
  <rdn rId="0" localSheetId="3" customView="1" name="Z_4D5E6ACC_9055_4DE9_8C20_9052F3C35D19_.wvu.Rows" hidden="1" oldHidden="1">
    <formula>район!$198:$198</formula>
  </rdn>
  <rdn rId="0" localSheetId="4" customView="1" name="Z_4D5E6ACC_9055_4DE9_8C20_9052F3C35D19_.wvu.PrintArea" hidden="1" oldHidden="1">
    <formula>Але!$A$1:$F$97</formula>
  </rdn>
  <rdn rId="0" localSheetId="4" customView="1" name="Z_4D5E6ACC_9055_4DE9_8C20_9052F3C35D19_.wvu.Rows" hidden="1" oldHidden="1">
    <formula>Але!$19:$24,Але!$28:$28,Але!$40:$40,Але!$55:$56,Але!$63:$64,Але!$69:$70,Але!$74:$74,Але!$79:$82,Але!$86:$93,Але!$142:$142</formula>
  </rdn>
  <rdn rId="0" localSheetId="5" customView="1" name="Z_4D5E6ACC_9055_4DE9_8C20_9052F3C35D19_.wvu.PrintArea" hidden="1" oldHidden="1">
    <formula>Сун!$A$1:$F$105</formula>
  </rdn>
  <rdn rId="0" localSheetId="5" customView="1" name="Z_4D5E6ACC_9055_4DE9_8C20_9052F3C35D19_.wvu.Rows" hidden="1" oldHidden="1">
    <formula>Сун!$19:$24,Сун!$44:$44,Сун!$46:$46,Сун!$50:$52,Сун!$59:$59,Сун!$61:$62,Сун!$69:$70,Сун!$80:$80,Сун!$83:$83,Сун!$86:$86,Сун!$88:$90,Сун!$94:$101,Сун!$143:$143</formula>
  </rdn>
  <rdn rId="0" localSheetId="6" customView="1" name="Z_4D5E6ACC_9055_4DE9_8C20_9052F3C35D19_.wvu.PrintArea" hidden="1" oldHidden="1">
    <formula>Иль!$A$1:$F$103</formula>
  </rdn>
  <rdn rId="0" localSheetId="6" customView="1" name="Z_4D5E6ACC_9055_4DE9_8C20_9052F3C35D19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</rdn>
  <rdn rId="0" localSheetId="7" customView="1" name="Z_4D5E6ACC_9055_4DE9_8C20_9052F3C35D19_.wvu.Rows" hidden="1" oldHidden="1">
    <formula>Кад!$19:$24,Кад!$31:$33,Кад!$38:$38,Кад!$42:$42,Кад!$44:$44,Кад!$48:$48,Кад!$56:$56,Кад!$58:$60,Кад!$66:$67,Кад!$72:$72,Кад!$77:$77,Кад!$82:$86,Кад!$89:$96,Кад!$142:$142</formula>
  </rdn>
  <rdn rId="0" localSheetId="8" customView="1" name="Z_4D5E6ACC_9055_4DE9_8C20_9052F3C35D19_.wvu.PrintArea" hidden="1" oldHidden="1">
    <formula>Мор!$A$1:$F$101</formula>
  </rdn>
  <rdn rId="0" localSheetId="8" customView="1" name="Z_4D5E6ACC_9055_4DE9_8C20_9052F3C35D19_.wvu.Rows" hidden="1" oldHidden="1">
    <formula>Мор!$17:$24,Мор!$27:$27,Мор!$44:$44,Мор!$47:$47,Мор!$57:$57,Мор!$59:$61,Мор!$64:$65,Мор!$67:$68,Мор!$78:$78,Мор!$83:$88,Мор!$91:$97,Мор!$142:$142</formula>
  </rdn>
  <rdn rId="0" localSheetId="9" customView="1" name="Z_4D5E6ACC_9055_4DE9_8C20_9052F3C35D19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</rdn>
  <rdn rId="0" localSheetId="10" customView="1" name="Z_4D5E6ACC_9055_4DE9_8C20_9052F3C35D19_.wvu.Rows" hidden="1" oldHidden="1">
    <formula>Ори!$19:$24,Ори!$43:$43,Ори!$45:$45,Ори!$49:$51,Ори!$58:$58,Ори!$60:$61,Ори!$68:$69,Ори!$75:$75,Ори!$79:$79,Ори!$82:$82,Ори!$85:$89,Ори!$92:$99,Ори!$143:$143</formula>
  </rdn>
  <rdn rId="0" localSheetId="11" customView="1" name="Z_4D5E6ACC_9055_4DE9_8C20_9052F3C35D19_.wvu.Rows" hidden="1" oldHidden="1">
    <formula>Сят!$19:$24,Сят!$38:$38,Сят!$45:$47,Сят!$57:$57,Сят!$59:$60,Сят!$67:$68,Сят!$78:$78,Сят!$83:$87,Сят!$90:$97,Сят!$143:$143</formula>
  </rdn>
  <rdn rId="0" localSheetId="12" customView="1" name="Z_4D5E6ACC_9055_4DE9_8C20_9052F3C35D19_.wvu.PrintArea" hidden="1" oldHidden="1">
    <formula>Тор!$A$1:$F$101</formula>
  </rdn>
  <rdn rId="0" localSheetId="12" customView="1" name="Z_4D5E6ACC_9055_4DE9_8C20_9052F3C35D19_.wvu.Rows" hidden="1" oldHidden="1">
    <formula>Тор!$19:$24,Тор!$39:$39,Тор!$43:$43,Тор!$47:$47,Тор!$49:$49,Тор!$57:$57,Тор!$59:$60,Тор!$67:$68,Тор!$73:$73,Тор!$75:$75,Тор!$79:$79,Тор!$87:$95,Тор!$142:$142</formula>
  </rdn>
  <rdn rId="0" localSheetId="13" customView="1" name="Z_4D5E6ACC_9055_4DE9_8C20_9052F3C35D19_.wvu.Rows" hidden="1" oldHidden="1">
    <formula>Хор!$20:$22,Хор!$26:$26,Хор!$39:$39,Хор!$45:$47,Хор!$54:$54,Хор!$56:$57,Хор!$64:$65,Хор!$70:$71,Хор!$75:$75,Хор!$80:$84,Хор!$87:$94,Хор!$141:$141</formula>
  </rdn>
  <rdn rId="0" localSheetId="14" customView="1" name="Z_4D5E6ACC_9055_4DE9_8C20_9052F3C35D19_.wvu.Rows" hidden="1" oldHidden="1">
    <formula>Чум!$19:$19,Чум!$21:$21,Чум!$24:$24,Чум!$43:$43,Чум!$47:$49,Чум!$57:$57,Чум!$59:$60,Чум!$67:$68,Чум!$78:$78,Чум!$83:$87,Чум!$90:$97,Чум!$142:$142</formula>
  </rdn>
  <rdn rId="0" localSheetId="15" customView="1" name="Z_4D5E6ACC_9055_4DE9_8C20_9052F3C35D19_.wvu.Rows" hidden="1" oldHidden="1">
    <formula>Шать!$19:$25,Шать!$35:$36,Шать!$47:$49,Шать!$57:$57,Шать!$59:$60,Шать!$67:$68,Шать!$74:$74,Шать!$78:$78,Шать!$84:$86,Шать!$90:$97,Шать!$142:$142</formula>
  </rdn>
  <rdn rId="0" localSheetId="16" customView="1" name="Z_4D5E6ACC_9055_4DE9_8C20_9052F3C35D19_.wvu.PrintArea" hidden="1" oldHidden="1">
    <formula>Юнг!$A$1:$F$100</formula>
  </rdn>
  <rdn rId="0" localSheetId="16" customView="1" name="Z_4D5E6ACC_9055_4DE9_8C20_9052F3C35D19_.wvu.Rows" hidden="1" oldHidden="1">
    <formula>Юнг!$19:$24,Юнг!$38:$38,Юнг!$42:$42,Юнг!$46:$46,Юнг!$56:$56,Юнг!$58:$59,Юнг!$66:$67,Юнг!$77:$77,Юнг!$82:$86,Юнг!$89:$96,Юнг!$142:$142</formula>
  </rdn>
  <rdn rId="0" localSheetId="17" customView="1" name="Z_4D5E6ACC_9055_4DE9_8C20_9052F3C35D19_.wvu.Rows" hidden="1" oldHidden="1">
    <formula>Юсь!$19:$24,Юсь!$45:$50,Юсь!$59:$59,Юсь!$61:$62,Юсь!$69:$70,Юсь!$85:$89,Юсь!$92:$99,Юсь!$143:$143</formula>
  </rdn>
  <rdn rId="0" localSheetId="18" customView="1" name="Z_4D5E6ACC_9055_4DE9_8C20_9052F3C35D19_.wvu.PrintArea" hidden="1" oldHidden="1">
    <formula>Яра!$A$1:$F$102</formula>
  </rdn>
  <rdn rId="0" localSheetId="18" customView="1" name="Z_4D5E6ACC_9055_4DE9_8C20_9052F3C35D19_.wvu.Rows" hidden="1" oldHidden="1">
    <formula>Яра!$19:$24,Яра!$28:$29,Яра!$48:$49,Яра!$58:$58,Яра!$60:$61,Яра!$68:$69,Яра!$75:$75,Яра!$79:$79,Яра!$84:$88,Яра!$91:$98,Яра!$143:$143</formula>
  </rdn>
  <rdn rId="0" localSheetId="19" customView="1" name="Z_4D5E6ACC_9055_4DE9_8C20_9052F3C35D19_.wvu.Rows" hidden="1" oldHidden="1">
    <formula>Ярос!$19:$24,Ярос!$28:$28,Ярос!$41:$41,Ярос!$44:$44,Ярос!$47:$48,Ярос!$55:$55,Ярос!$57:$58,Ярос!$65:$66,Ярос!$71:$71,Ярос!$76:$76,Ярос!$83:$85,Ярос!$88:$95</formula>
  </rdn>
  <rdn rId="0" localSheetId="20" customView="1" name="Z_4D5E6ACC_9055_4DE9_8C20_9052F3C35D19_.wvu.Rows" hidden="1" oldHidden="1">
    <formula>Лист1!$82:$84</formula>
  </rdn>
  <rcv guid="{4D5E6ACC-9055-4DE9-8C20-9052F3C35D1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9D5A5A68-1D20-4547-B541-1DC6FC40CB29}" name="morgau_fin3" id="-534282494" dateTime="2024-06-05T08:27:17"/>
  <userInfo guid="{589AEA0F-7557-46D1-98A3-43FA7EDF62C3}" name="morgau_fin3" id="-534292318" dateTime="2024-07-05T08:43:53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0.bin"/><Relationship Id="rId13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15.bin"/><Relationship Id="rId7" Type="http://schemas.openxmlformats.org/officeDocument/2006/relationships/printerSettings" Target="../printerSettings/printerSettings119.bin"/><Relationship Id="rId12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4.bin"/><Relationship Id="rId1" Type="http://schemas.openxmlformats.org/officeDocument/2006/relationships/printerSettings" Target="../printerSettings/printerSettings113.bin"/><Relationship Id="rId6" Type="http://schemas.openxmlformats.org/officeDocument/2006/relationships/printerSettings" Target="../printerSettings/printerSettings118.bin"/><Relationship Id="rId11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17.bin"/><Relationship Id="rId10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16.bin"/><Relationship Id="rId9" Type="http://schemas.openxmlformats.org/officeDocument/2006/relationships/printerSettings" Target="../printerSettings/printerSettings121.bin"/><Relationship Id="rId14" Type="http://schemas.openxmlformats.org/officeDocument/2006/relationships/printerSettings" Target="../printerSettings/printerSettings12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4.bin"/><Relationship Id="rId13" Type="http://schemas.openxmlformats.org/officeDocument/2006/relationships/printerSettings" Target="../printerSettings/printerSettings139.bin"/><Relationship Id="rId3" Type="http://schemas.openxmlformats.org/officeDocument/2006/relationships/printerSettings" Target="../printerSettings/printerSettings129.bin"/><Relationship Id="rId7" Type="http://schemas.openxmlformats.org/officeDocument/2006/relationships/printerSettings" Target="../printerSettings/printerSettings133.bin"/><Relationship Id="rId12" Type="http://schemas.openxmlformats.org/officeDocument/2006/relationships/printerSettings" Target="../printerSettings/printerSettings138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6" Type="http://schemas.openxmlformats.org/officeDocument/2006/relationships/printerSettings" Target="../printerSettings/printerSettings132.bin"/><Relationship Id="rId11" Type="http://schemas.openxmlformats.org/officeDocument/2006/relationships/printerSettings" Target="../printerSettings/printerSettings137.bin"/><Relationship Id="rId5" Type="http://schemas.openxmlformats.org/officeDocument/2006/relationships/printerSettings" Target="../printerSettings/printerSettings131.bin"/><Relationship Id="rId10" Type="http://schemas.openxmlformats.org/officeDocument/2006/relationships/printerSettings" Target="../printerSettings/printerSettings136.bin"/><Relationship Id="rId4" Type="http://schemas.openxmlformats.org/officeDocument/2006/relationships/printerSettings" Target="../printerSettings/printerSettings130.bin"/><Relationship Id="rId9" Type="http://schemas.openxmlformats.org/officeDocument/2006/relationships/printerSettings" Target="../printerSettings/printerSettings135.bin"/><Relationship Id="rId14" Type="http://schemas.openxmlformats.org/officeDocument/2006/relationships/printerSettings" Target="../printerSettings/printerSettings140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8.bin"/><Relationship Id="rId13" Type="http://schemas.openxmlformats.org/officeDocument/2006/relationships/printerSettings" Target="../printerSettings/printerSettings153.bin"/><Relationship Id="rId3" Type="http://schemas.openxmlformats.org/officeDocument/2006/relationships/printerSettings" Target="../printerSettings/printerSettings143.bin"/><Relationship Id="rId7" Type="http://schemas.openxmlformats.org/officeDocument/2006/relationships/printerSettings" Target="../printerSettings/printerSettings147.bin"/><Relationship Id="rId12" Type="http://schemas.openxmlformats.org/officeDocument/2006/relationships/printerSettings" Target="../printerSettings/printerSettings152.bin"/><Relationship Id="rId2" Type="http://schemas.openxmlformats.org/officeDocument/2006/relationships/printerSettings" Target="../printerSettings/printerSettings142.bin"/><Relationship Id="rId1" Type="http://schemas.openxmlformats.org/officeDocument/2006/relationships/printerSettings" Target="../printerSettings/printerSettings141.bin"/><Relationship Id="rId6" Type="http://schemas.openxmlformats.org/officeDocument/2006/relationships/printerSettings" Target="../printerSettings/printerSettings146.bin"/><Relationship Id="rId11" Type="http://schemas.openxmlformats.org/officeDocument/2006/relationships/printerSettings" Target="../printerSettings/printerSettings151.bin"/><Relationship Id="rId5" Type="http://schemas.openxmlformats.org/officeDocument/2006/relationships/printerSettings" Target="../printerSettings/printerSettings145.bin"/><Relationship Id="rId10" Type="http://schemas.openxmlformats.org/officeDocument/2006/relationships/printerSettings" Target="../printerSettings/printerSettings150.bin"/><Relationship Id="rId4" Type="http://schemas.openxmlformats.org/officeDocument/2006/relationships/printerSettings" Target="../printerSettings/printerSettings144.bin"/><Relationship Id="rId9" Type="http://schemas.openxmlformats.org/officeDocument/2006/relationships/printerSettings" Target="../printerSettings/printerSettings149.bin"/><Relationship Id="rId14" Type="http://schemas.openxmlformats.org/officeDocument/2006/relationships/printerSettings" Target="../printerSettings/printerSettings154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2.bin"/><Relationship Id="rId13" Type="http://schemas.openxmlformats.org/officeDocument/2006/relationships/printerSettings" Target="../printerSettings/printerSettings167.bin"/><Relationship Id="rId3" Type="http://schemas.openxmlformats.org/officeDocument/2006/relationships/printerSettings" Target="../printerSettings/printerSettings157.bin"/><Relationship Id="rId7" Type="http://schemas.openxmlformats.org/officeDocument/2006/relationships/printerSettings" Target="../printerSettings/printerSettings161.bin"/><Relationship Id="rId12" Type="http://schemas.openxmlformats.org/officeDocument/2006/relationships/printerSettings" Target="../printerSettings/printerSettings166.bin"/><Relationship Id="rId2" Type="http://schemas.openxmlformats.org/officeDocument/2006/relationships/printerSettings" Target="../printerSettings/printerSettings156.bin"/><Relationship Id="rId1" Type="http://schemas.openxmlformats.org/officeDocument/2006/relationships/printerSettings" Target="../printerSettings/printerSettings155.bin"/><Relationship Id="rId6" Type="http://schemas.openxmlformats.org/officeDocument/2006/relationships/printerSettings" Target="../printerSettings/printerSettings160.bin"/><Relationship Id="rId11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59.bin"/><Relationship Id="rId10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58.bin"/><Relationship Id="rId9" Type="http://schemas.openxmlformats.org/officeDocument/2006/relationships/printerSettings" Target="../printerSettings/printerSettings163.bin"/><Relationship Id="rId14" Type="http://schemas.openxmlformats.org/officeDocument/2006/relationships/printerSettings" Target="../printerSettings/printerSettings16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6.bin"/><Relationship Id="rId13" Type="http://schemas.openxmlformats.org/officeDocument/2006/relationships/printerSettings" Target="../printerSettings/printerSettings181.bin"/><Relationship Id="rId3" Type="http://schemas.openxmlformats.org/officeDocument/2006/relationships/printerSettings" Target="../printerSettings/printerSettings171.bin"/><Relationship Id="rId7" Type="http://schemas.openxmlformats.org/officeDocument/2006/relationships/printerSettings" Target="../printerSettings/printerSettings175.bin"/><Relationship Id="rId12" Type="http://schemas.openxmlformats.org/officeDocument/2006/relationships/printerSettings" Target="../printerSettings/printerSettings180.bin"/><Relationship Id="rId2" Type="http://schemas.openxmlformats.org/officeDocument/2006/relationships/printerSettings" Target="../printerSettings/printerSettings170.bin"/><Relationship Id="rId1" Type="http://schemas.openxmlformats.org/officeDocument/2006/relationships/printerSettings" Target="../printerSettings/printerSettings169.bin"/><Relationship Id="rId6" Type="http://schemas.openxmlformats.org/officeDocument/2006/relationships/printerSettings" Target="../printerSettings/printerSettings174.bin"/><Relationship Id="rId11" Type="http://schemas.openxmlformats.org/officeDocument/2006/relationships/printerSettings" Target="../printerSettings/printerSettings179.bin"/><Relationship Id="rId5" Type="http://schemas.openxmlformats.org/officeDocument/2006/relationships/printerSettings" Target="../printerSettings/printerSettings173.bin"/><Relationship Id="rId10" Type="http://schemas.openxmlformats.org/officeDocument/2006/relationships/printerSettings" Target="../printerSettings/printerSettings178.bin"/><Relationship Id="rId4" Type="http://schemas.openxmlformats.org/officeDocument/2006/relationships/printerSettings" Target="../printerSettings/printerSettings172.bin"/><Relationship Id="rId9" Type="http://schemas.openxmlformats.org/officeDocument/2006/relationships/printerSettings" Target="../printerSettings/printerSettings177.bin"/><Relationship Id="rId14" Type="http://schemas.openxmlformats.org/officeDocument/2006/relationships/printerSettings" Target="../printerSettings/printerSettings182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0.bin"/><Relationship Id="rId13" Type="http://schemas.openxmlformats.org/officeDocument/2006/relationships/printerSettings" Target="../printerSettings/printerSettings195.bin"/><Relationship Id="rId3" Type="http://schemas.openxmlformats.org/officeDocument/2006/relationships/printerSettings" Target="../printerSettings/printerSettings185.bin"/><Relationship Id="rId7" Type="http://schemas.openxmlformats.org/officeDocument/2006/relationships/printerSettings" Target="../printerSettings/printerSettings189.bin"/><Relationship Id="rId12" Type="http://schemas.openxmlformats.org/officeDocument/2006/relationships/printerSettings" Target="../printerSettings/printerSettings194.bin"/><Relationship Id="rId2" Type="http://schemas.openxmlformats.org/officeDocument/2006/relationships/printerSettings" Target="../printerSettings/printerSettings184.bin"/><Relationship Id="rId1" Type="http://schemas.openxmlformats.org/officeDocument/2006/relationships/printerSettings" Target="../printerSettings/printerSettings183.bin"/><Relationship Id="rId6" Type="http://schemas.openxmlformats.org/officeDocument/2006/relationships/printerSettings" Target="../printerSettings/printerSettings188.bin"/><Relationship Id="rId11" Type="http://schemas.openxmlformats.org/officeDocument/2006/relationships/printerSettings" Target="../printerSettings/printerSettings193.bin"/><Relationship Id="rId5" Type="http://schemas.openxmlformats.org/officeDocument/2006/relationships/printerSettings" Target="../printerSettings/printerSettings187.bin"/><Relationship Id="rId10" Type="http://schemas.openxmlformats.org/officeDocument/2006/relationships/printerSettings" Target="../printerSettings/printerSettings192.bin"/><Relationship Id="rId4" Type="http://schemas.openxmlformats.org/officeDocument/2006/relationships/printerSettings" Target="../printerSettings/printerSettings186.bin"/><Relationship Id="rId9" Type="http://schemas.openxmlformats.org/officeDocument/2006/relationships/printerSettings" Target="../printerSettings/printerSettings191.bin"/><Relationship Id="rId14" Type="http://schemas.openxmlformats.org/officeDocument/2006/relationships/printerSettings" Target="../printerSettings/printerSettings196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4.bin"/><Relationship Id="rId13" Type="http://schemas.openxmlformats.org/officeDocument/2006/relationships/printerSettings" Target="../printerSettings/printerSettings209.bin"/><Relationship Id="rId3" Type="http://schemas.openxmlformats.org/officeDocument/2006/relationships/printerSettings" Target="../printerSettings/printerSettings199.bin"/><Relationship Id="rId7" Type="http://schemas.openxmlformats.org/officeDocument/2006/relationships/printerSettings" Target="../printerSettings/printerSettings203.bin"/><Relationship Id="rId12" Type="http://schemas.openxmlformats.org/officeDocument/2006/relationships/printerSettings" Target="../printerSettings/printerSettings208.bin"/><Relationship Id="rId2" Type="http://schemas.openxmlformats.org/officeDocument/2006/relationships/printerSettings" Target="../printerSettings/printerSettings198.bin"/><Relationship Id="rId1" Type="http://schemas.openxmlformats.org/officeDocument/2006/relationships/printerSettings" Target="../printerSettings/printerSettings197.bin"/><Relationship Id="rId6" Type="http://schemas.openxmlformats.org/officeDocument/2006/relationships/printerSettings" Target="../printerSettings/printerSettings202.bin"/><Relationship Id="rId11" Type="http://schemas.openxmlformats.org/officeDocument/2006/relationships/printerSettings" Target="../printerSettings/printerSettings207.bin"/><Relationship Id="rId5" Type="http://schemas.openxmlformats.org/officeDocument/2006/relationships/printerSettings" Target="../printerSettings/printerSettings201.bin"/><Relationship Id="rId10" Type="http://schemas.openxmlformats.org/officeDocument/2006/relationships/printerSettings" Target="../printerSettings/printerSettings206.bin"/><Relationship Id="rId4" Type="http://schemas.openxmlformats.org/officeDocument/2006/relationships/printerSettings" Target="../printerSettings/printerSettings200.bin"/><Relationship Id="rId9" Type="http://schemas.openxmlformats.org/officeDocument/2006/relationships/printerSettings" Target="../printerSettings/printerSettings205.bin"/><Relationship Id="rId14" Type="http://schemas.openxmlformats.org/officeDocument/2006/relationships/printerSettings" Target="../printerSettings/printerSettings210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8.bin"/><Relationship Id="rId13" Type="http://schemas.openxmlformats.org/officeDocument/2006/relationships/printerSettings" Target="../printerSettings/printerSettings223.bin"/><Relationship Id="rId3" Type="http://schemas.openxmlformats.org/officeDocument/2006/relationships/printerSettings" Target="../printerSettings/printerSettings213.bin"/><Relationship Id="rId7" Type="http://schemas.openxmlformats.org/officeDocument/2006/relationships/printerSettings" Target="../printerSettings/printerSettings217.bin"/><Relationship Id="rId12" Type="http://schemas.openxmlformats.org/officeDocument/2006/relationships/printerSettings" Target="../printerSettings/printerSettings222.bin"/><Relationship Id="rId2" Type="http://schemas.openxmlformats.org/officeDocument/2006/relationships/printerSettings" Target="../printerSettings/printerSettings212.bin"/><Relationship Id="rId1" Type="http://schemas.openxmlformats.org/officeDocument/2006/relationships/printerSettings" Target="../printerSettings/printerSettings211.bin"/><Relationship Id="rId6" Type="http://schemas.openxmlformats.org/officeDocument/2006/relationships/printerSettings" Target="../printerSettings/printerSettings216.bin"/><Relationship Id="rId11" Type="http://schemas.openxmlformats.org/officeDocument/2006/relationships/printerSettings" Target="../printerSettings/printerSettings221.bin"/><Relationship Id="rId5" Type="http://schemas.openxmlformats.org/officeDocument/2006/relationships/printerSettings" Target="../printerSettings/printerSettings215.bin"/><Relationship Id="rId10" Type="http://schemas.openxmlformats.org/officeDocument/2006/relationships/printerSettings" Target="../printerSettings/printerSettings220.bin"/><Relationship Id="rId4" Type="http://schemas.openxmlformats.org/officeDocument/2006/relationships/printerSettings" Target="../printerSettings/printerSettings214.bin"/><Relationship Id="rId9" Type="http://schemas.openxmlformats.org/officeDocument/2006/relationships/printerSettings" Target="../printerSettings/printerSettings219.bin"/><Relationship Id="rId14" Type="http://schemas.openxmlformats.org/officeDocument/2006/relationships/printerSettings" Target="../printerSettings/printerSettings224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2.bin"/><Relationship Id="rId13" Type="http://schemas.openxmlformats.org/officeDocument/2006/relationships/printerSettings" Target="../printerSettings/printerSettings237.bin"/><Relationship Id="rId3" Type="http://schemas.openxmlformats.org/officeDocument/2006/relationships/printerSettings" Target="../printerSettings/printerSettings227.bin"/><Relationship Id="rId7" Type="http://schemas.openxmlformats.org/officeDocument/2006/relationships/printerSettings" Target="../printerSettings/printerSettings231.bin"/><Relationship Id="rId12" Type="http://schemas.openxmlformats.org/officeDocument/2006/relationships/printerSettings" Target="../printerSettings/printerSettings236.bin"/><Relationship Id="rId2" Type="http://schemas.openxmlformats.org/officeDocument/2006/relationships/printerSettings" Target="../printerSettings/printerSettings226.bin"/><Relationship Id="rId1" Type="http://schemas.openxmlformats.org/officeDocument/2006/relationships/printerSettings" Target="../printerSettings/printerSettings225.bin"/><Relationship Id="rId6" Type="http://schemas.openxmlformats.org/officeDocument/2006/relationships/printerSettings" Target="../printerSettings/printerSettings230.bin"/><Relationship Id="rId11" Type="http://schemas.openxmlformats.org/officeDocument/2006/relationships/printerSettings" Target="../printerSettings/printerSettings235.bin"/><Relationship Id="rId5" Type="http://schemas.openxmlformats.org/officeDocument/2006/relationships/printerSettings" Target="../printerSettings/printerSettings229.bin"/><Relationship Id="rId10" Type="http://schemas.openxmlformats.org/officeDocument/2006/relationships/printerSettings" Target="../printerSettings/printerSettings234.bin"/><Relationship Id="rId4" Type="http://schemas.openxmlformats.org/officeDocument/2006/relationships/printerSettings" Target="../printerSettings/printerSettings228.bin"/><Relationship Id="rId9" Type="http://schemas.openxmlformats.org/officeDocument/2006/relationships/printerSettings" Target="../printerSettings/printerSettings233.bin"/><Relationship Id="rId14" Type="http://schemas.openxmlformats.org/officeDocument/2006/relationships/printerSettings" Target="../printerSettings/printerSettings238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6.bin"/><Relationship Id="rId13" Type="http://schemas.openxmlformats.org/officeDocument/2006/relationships/printerSettings" Target="../printerSettings/printerSettings251.bin"/><Relationship Id="rId3" Type="http://schemas.openxmlformats.org/officeDocument/2006/relationships/printerSettings" Target="../printerSettings/printerSettings241.bin"/><Relationship Id="rId7" Type="http://schemas.openxmlformats.org/officeDocument/2006/relationships/printerSettings" Target="../printerSettings/printerSettings245.bin"/><Relationship Id="rId12" Type="http://schemas.openxmlformats.org/officeDocument/2006/relationships/printerSettings" Target="../printerSettings/printerSettings250.bin"/><Relationship Id="rId2" Type="http://schemas.openxmlformats.org/officeDocument/2006/relationships/printerSettings" Target="../printerSettings/printerSettings240.bin"/><Relationship Id="rId1" Type="http://schemas.openxmlformats.org/officeDocument/2006/relationships/printerSettings" Target="../printerSettings/printerSettings239.bin"/><Relationship Id="rId6" Type="http://schemas.openxmlformats.org/officeDocument/2006/relationships/printerSettings" Target="../printerSettings/printerSettings244.bin"/><Relationship Id="rId11" Type="http://schemas.openxmlformats.org/officeDocument/2006/relationships/printerSettings" Target="../printerSettings/printerSettings249.bin"/><Relationship Id="rId5" Type="http://schemas.openxmlformats.org/officeDocument/2006/relationships/printerSettings" Target="../printerSettings/printerSettings243.bin"/><Relationship Id="rId10" Type="http://schemas.openxmlformats.org/officeDocument/2006/relationships/printerSettings" Target="../printerSettings/printerSettings248.bin"/><Relationship Id="rId4" Type="http://schemas.openxmlformats.org/officeDocument/2006/relationships/printerSettings" Target="../printerSettings/printerSettings242.bin"/><Relationship Id="rId9" Type="http://schemas.openxmlformats.org/officeDocument/2006/relationships/printerSettings" Target="../printerSettings/printerSettings247.bin"/><Relationship Id="rId14" Type="http://schemas.openxmlformats.org/officeDocument/2006/relationships/printerSettings" Target="../printerSettings/printerSettings25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Relationship Id="rId14" Type="http://schemas.openxmlformats.org/officeDocument/2006/relationships/printerSettings" Target="../printerSettings/printerSettings28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0.bin"/><Relationship Id="rId13" Type="http://schemas.openxmlformats.org/officeDocument/2006/relationships/printerSettings" Target="../printerSettings/printerSettings265.bin"/><Relationship Id="rId3" Type="http://schemas.openxmlformats.org/officeDocument/2006/relationships/printerSettings" Target="../printerSettings/printerSettings255.bin"/><Relationship Id="rId7" Type="http://schemas.openxmlformats.org/officeDocument/2006/relationships/printerSettings" Target="../printerSettings/printerSettings259.bin"/><Relationship Id="rId12" Type="http://schemas.openxmlformats.org/officeDocument/2006/relationships/printerSettings" Target="../printerSettings/printerSettings264.bin"/><Relationship Id="rId2" Type="http://schemas.openxmlformats.org/officeDocument/2006/relationships/printerSettings" Target="../printerSettings/printerSettings254.bin"/><Relationship Id="rId1" Type="http://schemas.openxmlformats.org/officeDocument/2006/relationships/printerSettings" Target="../printerSettings/printerSettings253.bin"/><Relationship Id="rId6" Type="http://schemas.openxmlformats.org/officeDocument/2006/relationships/printerSettings" Target="../printerSettings/printerSettings258.bin"/><Relationship Id="rId11" Type="http://schemas.openxmlformats.org/officeDocument/2006/relationships/printerSettings" Target="../printerSettings/printerSettings263.bin"/><Relationship Id="rId5" Type="http://schemas.openxmlformats.org/officeDocument/2006/relationships/printerSettings" Target="../printerSettings/printerSettings257.bin"/><Relationship Id="rId10" Type="http://schemas.openxmlformats.org/officeDocument/2006/relationships/printerSettings" Target="../printerSettings/printerSettings262.bin"/><Relationship Id="rId4" Type="http://schemas.openxmlformats.org/officeDocument/2006/relationships/printerSettings" Target="../printerSettings/printerSettings256.bin"/><Relationship Id="rId9" Type="http://schemas.openxmlformats.org/officeDocument/2006/relationships/printerSettings" Target="../printerSettings/printerSettings261.bin"/><Relationship Id="rId14" Type="http://schemas.openxmlformats.org/officeDocument/2006/relationships/printerSettings" Target="../printerSettings/printerSettings266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4.bin"/><Relationship Id="rId13" Type="http://schemas.openxmlformats.org/officeDocument/2006/relationships/printerSettings" Target="../printerSettings/printerSettings279.bin"/><Relationship Id="rId3" Type="http://schemas.openxmlformats.org/officeDocument/2006/relationships/printerSettings" Target="../printerSettings/printerSettings269.bin"/><Relationship Id="rId7" Type="http://schemas.openxmlformats.org/officeDocument/2006/relationships/printerSettings" Target="../printerSettings/printerSettings273.bin"/><Relationship Id="rId12" Type="http://schemas.openxmlformats.org/officeDocument/2006/relationships/printerSettings" Target="../printerSettings/printerSettings278.bin"/><Relationship Id="rId2" Type="http://schemas.openxmlformats.org/officeDocument/2006/relationships/printerSettings" Target="../printerSettings/printerSettings268.bin"/><Relationship Id="rId1" Type="http://schemas.openxmlformats.org/officeDocument/2006/relationships/printerSettings" Target="../printerSettings/printerSettings267.bin"/><Relationship Id="rId6" Type="http://schemas.openxmlformats.org/officeDocument/2006/relationships/printerSettings" Target="../printerSettings/printerSettings272.bin"/><Relationship Id="rId11" Type="http://schemas.openxmlformats.org/officeDocument/2006/relationships/printerSettings" Target="../printerSettings/printerSettings277.bin"/><Relationship Id="rId5" Type="http://schemas.openxmlformats.org/officeDocument/2006/relationships/printerSettings" Target="../printerSettings/printerSettings271.bin"/><Relationship Id="rId10" Type="http://schemas.openxmlformats.org/officeDocument/2006/relationships/printerSettings" Target="../printerSettings/printerSettings276.bin"/><Relationship Id="rId4" Type="http://schemas.openxmlformats.org/officeDocument/2006/relationships/printerSettings" Target="../printerSettings/printerSettings270.bin"/><Relationship Id="rId9" Type="http://schemas.openxmlformats.org/officeDocument/2006/relationships/printerSettings" Target="../printerSettings/printerSettings275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2.bin"/><Relationship Id="rId2" Type="http://schemas.openxmlformats.org/officeDocument/2006/relationships/printerSettings" Target="../printerSettings/printerSettings281.bin"/><Relationship Id="rId1" Type="http://schemas.openxmlformats.org/officeDocument/2006/relationships/printerSettings" Target="../printerSettings/printerSettings28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4.bin"/><Relationship Id="rId1" Type="http://schemas.openxmlformats.org/officeDocument/2006/relationships/printerSettings" Target="../printerSettings/printerSettings28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6.bin"/><Relationship Id="rId1" Type="http://schemas.openxmlformats.org/officeDocument/2006/relationships/printerSettings" Target="../printerSettings/printerSettings28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13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12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11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Relationship Id="rId14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13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12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11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Relationship Id="rId14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13" Type="http://schemas.openxmlformats.org/officeDocument/2006/relationships/printerSettings" Target="../printerSettings/printerSettings69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12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11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1.bin"/><Relationship Id="rId10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0.bin"/><Relationship Id="rId9" Type="http://schemas.openxmlformats.org/officeDocument/2006/relationships/printerSettings" Target="../printerSettings/printerSettings65.bin"/><Relationship Id="rId14" Type="http://schemas.openxmlformats.org/officeDocument/2006/relationships/printerSettings" Target="../printerSettings/printerSettings70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13" Type="http://schemas.openxmlformats.org/officeDocument/2006/relationships/printerSettings" Target="../printerSettings/printerSettings83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12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1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Relationship Id="rId14" Type="http://schemas.openxmlformats.org/officeDocument/2006/relationships/printerSettings" Target="../printerSettings/printerSettings8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13" Type="http://schemas.openxmlformats.org/officeDocument/2006/relationships/printerSettings" Target="../printerSettings/printerSettings97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12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1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88.bin"/><Relationship Id="rId9" Type="http://schemas.openxmlformats.org/officeDocument/2006/relationships/printerSettings" Target="../printerSettings/printerSettings93.bin"/><Relationship Id="rId14" Type="http://schemas.openxmlformats.org/officeDocument/2006/relationships/printerSettings" Target="../printerSettings/printerSettings9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6.bin"/><Relationship Id="rId13" Type="http://schemas.openxmlformats.org/officeDocument/2006/relationships/printerSettings" Target="../printerSettings/printerSettings111.bin"/><Relationship Id="rId3" Type="http://schemas.openxmlformats.org/officeDocument/2006/relationships/printerSettings" Target="../printerSettings/printerSettings101.bin"/><Relationship Id="rId7" Type="http://schemas.openxmlformats.org/officeDocument/2006/relationships/printerSettings" Target="../printerSettings/printerSettings105.bin"/><Relationship Id="rId12" Type="http://schemas.openxmlformats.org/officeDocument/2006/relationships/printerSettings" Target="../printerSettings/printerSettings110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11" Type="http://schemas.openxmlformats.org/officeDocument/2006/relationships/printerSettings" Target="../printerSettings/printerSettings109.bin"/><Relationship Id="rId5" Type="http://schemas.openxmlformats.org/officeDocument/2006/relationships/printerSettings" Target="../printerSettings/printerSettings103.bin"/><Relationship Id="rId10" Type="http://schemas.openxmlformats.org/officeDocument/2006/relationships/printerSettings" Target="../printerSettings/printerSettings108.bin"/><Relationship Id="rId4" Type="http://schemas.openxmlformats.org/officeDocument/2006/relationships/printerSettings" Target="../printerSettings/printerSettings102.bin"/><Relationship Id="rId9" Type="http://schemas.openxmlformats.org/officeDocument/2006/relationships/printerSettings" Target="../printerSettings/printerSettings107.bin"/><Relationship Id="rId14" Type="http://schemas.openxmlformats.org/officeDocument/2006/relationships/printerSettings" Target="../printerSettings/printerSettings1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56"/>
  <sheetViews>
    <sheetView view="pageBreakPreview" topLeftCell="A22" zoomScale="80" zoomScaleNormal="100" zoomScaleSheetLayoutView="80" workbookViewId="0">
      <selection activeCell="G10" sqref="G10"/>
    </sheetView>
  </sheetViews>
  <sheetFormatPr defaultRowHeight="15.75" x14ac:dyDescent="0.2"/>
  <cols>
    <col min="1" max="1" width="41.28515625" style="83" customWidth="1"/>
    <col min="2" max="2" width="10" style="84" customWidth="1"/>
    <col min="3" max="3" width="21.140625" style="74" customWidth="1"/>
    <col min="4" max="4" width="22.28515625" style="74" customWidth="1"/>
    <col min="5" max="5" width="13.5703125" style="74" customWidth="1"/>
    <col min="6" max="6" width="20.85546875" style="74" customWidth="1"/>
    <col min="7" max="7" width="21.42578125" style="74" customWidth="1"/>
    <col min="8" max="8" width="18.28515625" style="74" customWidth="1"/>
    <col min="9" max="9" width="23.5703125" style="74" customWidth="1"/>
    <col min="10" max="10" width="12" style="74" customWidth="1"/>
    <col min="11" max="16384" width="9.140625" style="74"/>
  </cols>
  <sheetData>
    <row r="1" spans="1:12" ht="26.25" customHeight="1" x14ac:dyDescent="0.2">
      <c r="A1" s="560" t="s">
        <v>438</v>
      </c>
      <c r="B1" s="560"/>
      <c r="C1" s="560"/>
      <c r="D1" s="560"/>
      <c r="E1" s="560"/>
      <c r="F1" s="560"/>
      <c r="G1" s="560"/>
      <c r="H1" s="560"/>
      <c r="I1" s="121"/>
      <c r="J1" s="121"/>
      <c r="K1" s="121"/>
      <c r="L1" s="121"/>
    </row>
    <row r="2" spans="1:12" ht="33.75" customHeight="1" x14ac:dyDescent="0.2">
      <c r="A2" s="558" t="s">
        <v>173</v>
      </c>
      <c r="B2" s="559" t="s">
        <v>174</v>
      </c>
      <c r="C2" s="555" t="s">
        <v>175</v>
      </c>
      <c r="D2" s="556"/>
      <c r="E2" s="556"/>
      <c r="F2" s="555" t="s">
        <v>176</v>
      </c>
      <c r="G2" s="556"/>
      <c r="H2" s="556"/>
    </row>
    <row r="3" spans="1:12" ht="53.25" customHeight="1" x14ac:dyDescent="0.2">
      <c r="A3" s="558"/>
      <c r="B3" s="559"/>
      <c r="C3" s="77" t="s">
        <v>439</v>
      </c>
      <c r="D3" s="77" t="s">
        <v>432</v>
      </c>
      <c r="E3" s="135" t="s">
        <v>308</v>
      </c>
      <c r="F3" s="77" t="s">
        <v>439</v>
      </c>
      <c r="G3" s="77" t="s">
        <v>432</v>
      </c>
      <c r="H3" s="135" t="s">
        <v>308</v>
      </c>
    </row>
    <row r="4" spans="1:12" s="79" customFormat="1" ht="30.75" customHeight="1" x14ac:dyDescent="0.2">
      <c r="A4" s="78" t="s">
        <v>4</v>
      </c>
      <c r="B4" s="75"/>
      <c r="C4" s="194">
        <f>SUM(C5:C13)</f>
        <v>276970.30000000005</v>
      </c>
      <c r="D4" s="194">
        <f>SUM(D5:D13)</f>
        <v>128121.69220000002</v>
      </c>
      <c r="E4" s="194">
        <f>D4/C4*100</f>
        <v>46.258278306374365</v>
      </c>
      <c r="F4" s="194">
        <f>SUM(F5:F13)</f>
        <v>276970.30000000005</v>
      </c>
      <c r="G4" s="194">
        <f>SUM(G5:G13)</f>
        <v>128121.69220000002</v>
      </c>
      <c r="H4" s="194">
        <f>G4/F4*100</f>
        <v>46.258278306374365</v>
      </c>
    </row>
    <row r="5" spans="1:12" ht="27" customHeight="1" x14ac:dyDescent="0.2">
      <c r="A5" s="80" t="s">
        <v>177</v>
      </c>
      <c r="B5" s="76">
        <v>10102</v>
      </c>
      <c r="C5" s="195">
        <f>F5</f>
        <v>198179.1</v>
      </c>
      <c r="D5" s="195">
        <f>G5</f>
        <v>90095.05601</v>
      </c>
      <c r="E5" s="196">
        <f t="shared" ref="E5:E12" si="0">D5/C5*100</f>
        <v>45.461431609084912</v>
      </c>
      <c r="F5" s="195">
        <f>район!C6</f>
        <v>198179.1</v>
      </c>
      <c r="G5" s="195">
        <f>район!D6</f>
        <v>90095.05601</v>
      </c>
      <c r="H5" s="196">
        <f t="shared" ref="H5:H43" si="1">G5/F5*100</f>
        <v>45.461431609084912</v>
      </c>
    </row>
    <row r="6" spans="1:12" ht="41.25" customHeight="1" x14ac:dyDescent="0.2">
      <c r="A6" s="80" t="s">
        <v>262</v>
      </c>
      <c r="B6" s="76">
        <v>10300</v>
      </c>
      <c r="C6" s="195">
        <f t="shared" ref="C6:C13" si="2">F6</f>
        <v>19878.5</v>
      </c>
      <c r="D6" s="195">
        <f t="shared" ref="D6:D13" si="3">G6</f>
        <v>9564.151420000002</v>
      </c>
      <c r="E6" s="196">
        <f t="shared" si="0"/>
        <v>48.113043841336129</v>
      </c>
      <c r="F6" s="195">
        <f>район!C8</f>
        <v>19878.5</v>
      </c>
      <c r="G6" s="195">
        <f>район!D8</f>
        <v>9564.151420000002</v>
      </c>
      <c r="H6" s="196">
        <f t="shared" si="1"/>
        <v>48.113043841336129</v>
      </c>
    </row>
    <row r="7" spans="1:12" ht="19.5" customHeight="1" x14ac:dyDescent="0.2">
      <c r="A7" s="80" t="s">
        <v>178</v>
      </c>
      <c r="B7" s="76">
        <v>10500</v>
      </c>
      <c r="C7" s="195">
        <f t="shared" si="2"/>
        <v>26450</v>
      </c>
      <c r="D7" s="195">
        <f t="shared" si="3"/>
        <v>21129.236959999998</v>
      </c>
      <c r="E7" s="196">
        <f t="shared" si="0"/>
        <v>79.883693610586008</v>
      </c>
      <c r="F7" s="195">
        <f>район!C13</f>
        <v>26450</v>
      </c>
      <c r="G7" s="195">
        <f>район!D13</f>
        <v>21129.236959999998</v>
      </c>
      <c r="H7" s="196">
        <f t="shared" si="1"/>
        <v>79.883693610586008</v>
      </c>
    </row>
    <row r="8" spans="1:12" ht="19.5" customHeight="1" x14ac:dyDescent="0.2">
      <c r="A8" s="80" t="s">
        <v>179</v>
      </c>
      <c r="B8" s="76">
        <v>10601</v>
      </c>
      <c r="C8" s="195">
        <f t="shared" si="2"/>
        <v>7500</v>
      </c>
      <c r="D8" s="195">
        <f t="shared" si="3"/>
        <v>1142.11581</v>
      </c>
      <c r="E8" s="196">
        <f t="shared" si="0"/>
        <v>15.228210799999999</v>
      </c>
      <c r="F8" s="195">
        <f>SUM(район!C19)</f>
        <v>7500</v>
      </c>
      <c r="G8" s="195">
        <f>SUM(район!D19)</f>
        <v>1142.11581</v>
      </c>
      <c r="H8" s="196"/>
    </row>
    <row r="9" spans="1:12" ht="19.5" customHeight="1" x14ac:dyDescent="0.2">
      <c r="A9" s="80" t="s">
        <v>263</v>
      </c>
      <c r="B9" s="76">
        <v>10604</v>
      </c>
      <c r="C9" s="195">
        <f t="shared" si="2"/>
        <v>2952.7</v>
      </c>
      <c r="D9" s="195">
        <f t="shared" si="3"/>
        <v>445.41374000000002</v>
      </c>
      <c r="E9" s="196">
        <f t="shared" si="0"/>
        <v>15.084964269990181</v>
      </c>
      <c r="F9" s="195">
        <f>SUM(район!C20)</f>
        <v>2952.7</v>
      </c>
      <c r="G9" s="195">
        <f>район!D20</f>
        <v>445.41374000000002</v>
      </c>
      <c r="H9" s="196">
        <f t="shared" si="1"/>
        <v>15.084964269990181</v>
      </c>
    </row>
    <row r="10" spans="1:12" ht="19.5" customHeight="1" x14ac:dyDescent="0.2">
      <c r="A10" s="80" t="s">
        <v>180</v>
      </c>
      <c r="B10" s="76">
        <v>10606</v>
      </c>
      <c r="C10" s="195">
        <f t="shared" si="2"/>
        <v>16800</v>
      </c>
      <c r="D10" s="195">
        <f t="shared" si="3"/>
        <v>4001.1228000000001</v>
      </c>
      <c r="E10" s="196">
        <f t="shared" si="0"/>
        <v>23.816207142857142</v>
      </c>
      <c r="F10" s="195">
        <f>SUM(район!C23)</f>
        <v>16800</v>
      </c>
      <c r="G10" s="195">
        <f>SUM(район!D23)</f>
        <v>4001.1228000000001</v>
      </c>
      <c r="H10" s="196">
        <v>0</v>
      </c>
    </row>
    <row r="11" spans="1:12" ht="33.75" customHeight="1" x14ac:dyDescent="0.2">
      <c r="A11" s="80" t="s">
        <v>181</v>
      </c>
      <c r="B11" s="76">
        <v>10701</v>
      </c>
      <c r="C11" s="195">
        <f t="shared" si="2"/>
        <v>2300</v>
      </c>
      <c r="D11" s="195">
        <f t="shared" si="3"/>
        <v>212.964</v>
      </c>
      <c r="E11" s="196">
        <f t="shared" si="0"/>
        <v>9.2593043478260881</v>
      </c>
      <c r="F11" s="195">
        <f>район!C26</f>
        <v>2300</v>
      </c>
      <c r="G11" s="195">
        <f>район!D26</f>
        <v>212.964</v>
      </c>
      <c r="H11" s="196">
        <f t="shared" si="1"/>
        <v>9.2593043478260881</v>
      </c>
    </row>
    <row r="12" spans="1:12" ht="19.5" customHeight="1" x14ac:dyDescent="0.2">
      <c r="A12" s="80" t="s">
        <v>182</v>
      </c>
      <c r="B12" s="76">
        <v>10800</v>
      </c>
      <c r="C12" s="195">
        <f t="shared" si="2"/>
        <v>2910</v>
      </c>
      <c r="D12" s="195">
        <f t="shared" si="3"/>
        <v>1531.6314600000001</v>
      </c>
      <c r="E12" s="196">
        <f t="shared" si="0"/>
        <v>52.63338350515464</v>
      </c>
      <c r="F12" s="195">
        <f>район!C28</f>
        <v>2910</v>
      </c>
      <c r="G12" s="195">
        <f>район!D28</f>
        <v>1531.6314600000001</v>
      </c>
      <c r="H12" s="196">
        <f t="shared" si="1"/>
        <v>52.63338350515464</v>
      </c>
    </row>
    <row r="13" spans="1:12" ht="19.5" customHeight="1" x14ac:dyDescent="0.2">
      <c r="A13" s="80" t="s">
        <v>183</v>
      </c>
      <c r="B13" s="76">
        <v>10900</v>
      </c>
      <c r="C13" s="195">
        <f t="shared" si="2"/>
        <v>0</v>
      </c>
      <c r="D13" s="195">
        <f t="shared" si="3"/>
        <v>0</v>
      </c>
      <c r="E13" s="196"/>
      <c r="F13" s="195">
        <f>район!C32</f>
        <v>0</v>
      </c>
      <c r="G13" s="195">
        <f>район!D32</f>
        <v>0</v>
      </c>
      <c r="H13" s="196"/>
    </row>
    <row r="14" spans="1:12" s="79" customFormat="1" ht="20.25" customHeight="1" x14ac:dyDescent="0.2">
      <c r="A14" s="78" t="s">
        <v>12</v>
      </c>
      <c r="B14" s="75"/>
      <c r="C14" s="194">
        <f>SUM(C15:C21)</f>
        <v>51240.812449999998</v>
      </c>
      <c r="D14" s="194">
        <f>SUM(D15:D21)</f>
        <v>22102.20073</v>
      </c>
      <c r="E14" s="194">
        <f t="shared" ref="E14:E41" si="4">D14/C14*100</f>
        <v>43.133977923490171</v>
      </c>
      <c r="F14" s="194">
        <f>F15+F16+F17+F18+F20+F21+F19</f>
        <v>51240.812449999998</v>
      </c>
      <c r="G14" s="194">
        <f>G15+G16+G17+G18+G20+G21+G19</f>
        <v>22102.200729999997</v>
      </c>
      <c r="H14" s="194">
        <f t="shared" si="1"/>
        <v>43.133977923490164</v>
      </c>
    </row>
    <row r="15" spans="1:12" ht="52.5" customHeight="1" x14ac:dyDescent="0.2">
      <c r="A15" s="80" t="s">
        <v>184</v>
      </c>
      <c r="B15" s="76">
        <v>11100</v>
      </c>
      <c r="C15" s="195">
        <f>F15</f>
        <v>12720</v>
      </c>
      <c r="D15" s="195">
        <f>G15</f>
        <v>5830.4639200000001</v>
      </c>
      <c r="E15" s="195">
        <f t="shared" si="4"/>
        <v>45.836980503144652</v>
      </c>
      <c r="F15" s="195">
        <f>район!C38</f>
        <v>12720</v>
      </c>
      <c r="G15" s="195">
        <f>район!D38</f>
        <v>5830.4639200000001</v>
      </c>
      <c r="H15" s="195">
        <f t="shared" si="1"/>
        <v>45.836980503144652</v>
      </c>
    </row>
    <row r="16" spans="1:12" ht="33" customHeight="1" x14ac:dyDescent="0.2">
      <c r="A16" s="80" t="s">
        <v>185</v>
      </c>
      <c r="B16" s="76">
        <v>11200</v>
      </c>
      <c r="C16" s="195">
        <f t="shared" ref="C16:C22" si="5">F16</f>
        <v>1100</v>
      </c>
      <c r="D16" s="195">
        <f t="shared" ref="D16:D21" si="6">G16</f>
        <v>1168.9928</v>
      </c>
      <c r="E16" s="195">
        <f t="shared" si="4"/>
        <v>106.27207272727273</v>
      </c>
      <c r="F16" s="195">
        <f>район!C48</f>
        <v>1100</v>
      </c>
      <c r="G16" s="195">
        <f>район!D48</f>
        <v>1168.9928</v>
      </c>
      <c r="H16" s="195">
        <f t="shared" si="1"/>
        <v>106.27207272727273</v>
      </c>
    </row>
    <row r="17" spans="1:10" ht="33" customHeight="1" x14ac:dyDescent="0.2">
      <c r="A17" s="80" t="s">
        <v>186</v>
      </c>
      <c r="B17" s="76">
        <v>11300</v>
      </c>
      <c r="C17" s="195">
        <f t="shared" si="5"/>
        <v>5426.9</v>
      </c>
      <c r="D17" s="195">
        <f t="shared" si="6"/>
        <v>1106.7274399999999</v>
      </c>
      <c r="E17" s="195">
        <f>D17/C17*100</f>
        <v>20.393363430319333</v>
      </c>
      <c r="F17" s="195">
        <f>район!C50</f>
        <v>5426.9</v>
      </c>
      <c r="G17" s="195">
        <f>район!D50</f>
        <v>1106.7274399999999</v>
      </c>
      <c r="H17" s="195">
        <f t="shared" si="1"/>
        <v>20.393363430319333</v>
      </c>
    </row>
    <row r="18" spans="1:10" ht="33" customHeight="1" x14ac:dyDescent="0.2">
      <c r="A18" s="80" t="s">
        <v>187</v>
      </c>
      <c r="B18" s="76">
        <v>11400</v>
      </c>
      <c r="C18" s="195">
        <f t="shared" si="5"/>
        <v>12000</v>
      </c>
      <c r="D18" s="195">
        <f t="shared" si="6"/>
        <v>4004.9476900000004</v>
      </c>
      <c r="E18" s="195">
        <f t="shared" si="4"/>
        <v>33.374564083333333</v>
      </c>
      <c r="F18" s="195">
        <f>район!C53</f>
        <v>12000</v>
      </c>
      <c r="G18" s="195">
        <f>район!D53</f>
        <v>4004.9476900000004</v>
      </c>
      <c r="H18" s="195">
        <f t="shared" si="1"/>
        <v>33.374564083333333</v>
      </c>
    </row>
    <row r="19" spans="1:10" ht="23.25" customHeight="1" x14ac:dyDescent="0.2">
      <c r="A19" s="80" t="s">
        <v>235</v>
      </c>
      <c r="B19" s="76">
        <v>11500</v>
      </c>
      <c r="C19" s="195">
        <f t="shared" si="5"/>
        <v>0</v>
      </c>
      <c r="D19" s="195">
        <f t="shared" si="6"/>
        <v>6040.4779099999996</v>
      </c>
      <c r="E19" s="195"/>
      <c r="F19" s="195">
        <f>район!C57</f>
        <v>0</v>
      </c>
      <c r="G19" s="195">
        <f>район!D65</f>
        <v>6040.4779099999996</v>
      </c>
      <c r="H19" s="195"/>
    </row>
    <row r="20" spans="1:10" ht="22.5" customHeight="1" x14ac:dyDescent="0.2">
      <c r="A20" s="80" t="s">
        <v>188</v>
      </c>
      <c r="B20" s="76">
        <v>11600</v>
      </c>
      <c r="C20" s="195">
        <f t="shared" si="5"/>
        <v>4650</v>
      </c>
      <c r="D20" s="195">
        <f t="shared" si="6"/>
        <v>3950.5909700000002</v>
      </c>
      <c r="E20" s="195">
        <f t="shared" si="4"/>
        <v>84.95894559139785</v>
      </c>
      <c r="F20" s="195">
        <f>район!C59</f>
        <v>4650</v>
      </c>
      <c r="G20" s="195">
        <f>район!D59</f>
        <v>3950.5909700000002</v>
      </c>
      <c r="H20" s="195">
        <f t="shared" si="1"/>
        <v>84.95894559139785</v>
      </c>
    </row>
    <row r="21" spans="1:10" ht="29.25" customHeight="1" x14ac:dyDescent="0.2">
      <c r="A21" s="80" t="s">
        <v>189</v>
      </c>
      <c r="B21" s="76">
        <v>11700</v>
      </c>
      <c r="C21" s="195">
        <f t="shared" si="5"/>
        <v>15343.91245</v>
      </c>
      <c r="D21" s="195">
        <f t="shared" si="6"/>
        <v>0</v>
      </c>
      <c r="E21" s="195"/>
      <c r="F21" s="195">
        <f>район!C65</f>
        <v>15343.91245</v>
      </c>
      <c r="G21" s="411"/>
      <c r="H21" s="195"/>
    </row>
    <row r="22" spans="1:10" ht="28.5" customHeight="1" x14ac:dyDescent="0.2">
      <c r="A22" s="78" t="s">
        <v>190</v>
      </c>
      <c r="B22" s="75">
        <v>30000</v>
      </c>
      <c r="C22" s="395">
        <f t="shared" si="5"/>
        <v>0</v>
      </c>
      <c r="D22" s="194">
        <f>G22</f>
        <v>0</v>
      </c>
      <c r="E22" s="194"/>
      <c r="F22" s="194">
        <v>0</v>
      </c>
      <c r="G22" s="194">
        <v>0</v>
      </c>
      <c r="H22" s="194"/>
    </row>
    <row r="23" spans="1:10" ht="29.25" customHeight="1" x14ac:dyDescent="0.2">
      <c r="A23" s="78" t="s">
        <v>16</v>
      </c>
      <c r="B23" s="75">
        <v>10000</v>
      </c>
      <c r="C23" s="197">
        <f>SUM(C4,C14,C22,)</f>
        <v>328211.11245000002</v>
      </c>
      <c r="D23" s="424">
        <f>SUM(D4,D14,)</f>
        <v>150223.89293000003</v>
      </c>
      <c r="E23" s="194">
        <f t="shared" si="4"/>
        <v>45.770507832176243</v>
      </c>
      <c r="F23" s="197">
        <f>SUM(F4,F14,)</f>
        <v>328211.11245000002</v>
      </c>
      <c r="G23" s="423">
        <f>SUM(G4,G14,G22)</f>
        <v>150223.89293000003</v>
      </c>
      <c r="H23" s="194">
        <f t="shared" si="1"/>
        <v>45.770507832176243</v>
      </c>
    </row>
    <row r="24" spans="1:10" ht="32.25" customHeight="1" x14ac:dyDescent="0.2">
      <c r="A24" s="78" t="s">
        <v>191</v>
      </c>
      <c r="B24" s="75">
        <v>20200</v>
      </c>
      <c r="C24" s="198">
        <v>717224.66131</v>
      </c>
      <c r="D24" s="198">
        <v>-46567.792430000001</v>
      </c>
      <c r="E24" s="197">
        <f t="shared" si="4"/>
        <v>-6.4927762446071817</v>
      </c>
      <c r="F24" s="197">
        <f>район!C69</f>
        <v>922402.69900999998</v>
      </c>
      <c r="G24" s="197">
        <f>район!D69</f>
        <v>487937.26622999995</v>
      </c>
      <c r="H24" s="196">
        <f t="shared" si="1"/>
        <v>52.898508076103333</v>
      </c>
    </row>
    <row r="25" spans="1:10" ht="33" customHeight="1" x14ac:dyDescent="0.2">
      <c r="A25" s="78" t="s">
        <v>281</v>
      </c>
      <c r="B25" s="75">
        <v>20700</v>
      </c>
      <c r="C25" s="410">
        <f>F25</f>
        <v>0</v>
      </c>
      <c r="D25" s="199">
        <f>SUM(G25)</f>
        <v>0</v>
      </c>
      <c r="E25" s="195" t="e">
        <f t="shared" si="4"/>
        <v>#DIV/0!</v>
      </c>
      <c r="F25" s="195">
        <v>0</v>
      </c>
      <c r="G25" s="195">
        <v>0</v>
      </c>
      <c r="H25" s="196"/>
    </row>
    <row r="26" spans="1:10" ht="50.25" customHeight="1" x14ac:dyDescent="0.2">
      <c r="A26" s="78" t="s">
        <v>401</v>
      </c>
      <c r="B26" s="407">
        <v>20800</v>
      </c>
      <c r="C26" s="410">
        <f>F26</f>
        <v>0</v>
      </c>
      <c r="D26" s="199">
        <f>район!D75</f>
        <v>0</v>
      </c>
      <c r="E26" s="197" t="e">
        <f t="shared" si="4"/>
        <v>#DIV/0!</v>
      </c>
      <c r="F26" s="195">
        <v>0</v>
      </c>
      <c r="G26" s="195">
        <v>0</v>
      </c>
      <c r="H26" s="196"/>
    </row>
    <row r="27" spans="1:10" ht="50.25" customHeight="1" x14ac:dyDescent="0.2">
      <c r="A27" s="78" t="s">
        <v>396</v>
      </c>
      <c r="B27" s="398">
        <v>21800</v>
      </c>
      <c r="C27" s="199">
        <v>0</v>
      </c>
      <c r="D27" s="199">
        <f>SUM(район!D76)</f>
        <v>0</v>
      </c>
      <c r="E27" s="197"/>
      <c r="F27" s="195">
        <v>0</v>
      </c>
      <c r="G27" s="195">
        <v>0</v>
      </c>
      <c r="H27" s="196"/>
    </row>
    <row r="28" spans="1:10" ht="33" customHeight="1" x14ac:dyDescent="0.2">
      <c r="A28" s="78" t="s">
        <v>246</v>
      </c>
      <c r="B28" s="76">
        <v>21900</v>
      </c>
      <c r="C28" s="199">
        <f>F28</f>
        <v>0</v>
      </c>
      <c r="D28" s="199">
        <v>-87055.707250000007</v>
      </c>
      <c r="E28" s="197"/>
      <c r="F28" s="196">
        <f>район!C77</f>
        <v>0</v>
      </c>
      <c r="G28" s="196">
        <f>район!D77</f>
        <v>-500.27202999999997</v>
      </c>
      <c r="H28" s="194"/>
      <c r="I28" s="82"/>
    </row>
    <row r="29" spans="1:10" ht="29.25" customHeight="1" x14ac:dyDescent="0.2">
      <c r="A29" s="75" t="s">
        <v>192</v>
      </c>
      <c r="B29" s="75"/>
      <c r="C29" s="200">
        <f>C24+C23+C28+C25</f>
        <v>1045435.77376</v>
      </c>
      <c r="D29" s="422">
        <f>D24+D23+D25+D27+D26</f>
        <v>103656.10050000003</v>
      </c>
      <c r="E29" s="200">
        <f t="shared" si="4"/>
        <v>9.9151093832566985</v>
      </c>
      <c r="F29" s="200">
        <f>F24+F23</f>
        <v>1250613.81146</v>
      </c>
      <c r="G29" s="422">
        <f>G24+G23+G26</f>
        <v>638161.15916000004</v>
      </c>
      <c r="H29" s="200">
        <f t="shared" si="1"/>
        <v>51.027835556605098</v>
      </c>
      <c r="I29" s="94"/>
      <c r="J29" s="82"/>
    </row>
    <row r="30" spans="1:10" ht="29.25" customHeight="1" x14ac:dyDescent="0.2">
      <c r="A30" s="75" t="s">
        <v>193</v>
      </c>
      <c r="B30" s="75"/>
      <c r="C30" s="200">
        <f>C31+C32+C33+C34+C35+C36+C37+C38+C39+C43+C40+C41+C42</f>
        <v>1204290.1219899999</v>
      </c>
      <c r="D30" s="200">
        <f>SUM(D31:D43)</f>
        <v>455210.76312000008</v>
      </c>
      <c r="E30" s="200">
        <f t="shared" si="4"/>
        <v>37.79909465401893</v>
      </c>
      <c r="F30" s="200" t="e">
        <f>SUM(F31+F32+F33+F34+F35+F36+F37+F38+F39+F40+F41+F42+F43)</f>
        <v>#REF!</v>
      </c>
      <c r="G30" s="200" t="e">
        <f>SUM(G31:G43)</f>
        <v>#REF!</v>
      </c>
      <c r="H30" s="200" t="e">
        <f t="shared" si="1"/>
        <v>#REF!</v>
      </c>
      <c r="I30" s="94"/>
    </row>
    <row r="31" spans="1:10" ht="30.75" customHeight="1" x14ac:dyDescent="0.2">
      <c r="A31" s="80" t="s">
        <v>194</v>
      </c>
      <c r="B31" s="81" t="s">
        <v>27</v>
      </c>
      <c r="C31" s="257">
        <f>F31</f>
        <v>129013.20727000001</v>
      </c>
      <c r="D31" s="257">
        <f>G31</f>
        <v>56318.981009999989</v>
      </c>
      <c r="E31" s="202">
        <f t="shared" si="4"/>
        <v>43.653655468106543</v>
      </c>
      <c r="F31" s="195">
        <f>район!C82</f>
        <v>129013.20727000001</v>
      </c>
      <c r="G31" s="202">
        <f>район!D82</f>
        <v>56318.981009999989</v>
      </c>
      <c r="H31" s="203">
        <f t="shared" si="1"/>
        <v>43.653655468106543</v>
      </c>
    </row>
    <row r="32" spans="1:10" ht="30.75" customHeight="1" x14ac:dyDescent="0.2">
      <c r="A32" s="80" t="s">
        <v>195</v>
      </c>
      <c r="B32" s="81" t="s">
        <v>43</v>
      </c>
      <c r="C32" s="257">
        <f t="shared" ref="C32:C33" si="7">F32</f>
        <v>2135.3000000000002</v>
      </c>
      <c r="D32" s="257">
        <f t="shared" ref="D32:D33" si="8">G32</f>
        <v>906.47619999999995</v>
      </c>
      <c r="E32" s="202">
        <f t="shared" si="4"/>
        <v>42.451936496042705</v>
      </c>
      <c r="F32" s="195">
        <f>район!C91</f>
        <v>2135.3000000000002</v>
      </c>
      <c r="G32" s="202">
        <f>район!D91</f>
        <v>906.47619999999995</v>
      </c>
      <c r="H32" s="203">
        <f t="shared" si="1"/>
        <v>42.451936496042705</v>
      </c>
    </row>
    <row r="33" spans="1:9" ht="33" customHeight="1" x14ac:dyDescent="0.2">
      <c r="A33" s="80" t="s">
        <v>196</v>
      </c>
      <c r="B33" s="81" t="s">
        <v>47</v>
      </c>
      <c r="C33" s="257">
        <f t="shared" si="7"/>
        <v>31448.592789999999</v>
      </c>
      <c r="D33" s="257">
        <f t="shared" si="8"/>
        <v>2781.9590499999999</v>
      </c>
      <c r="E33" s="202">
        <f t="shared" si="4"/>
        <v>8.8460525676831097</v>
      </c>
      <c r="F33" s="195">
        <f>район!C93</f>
        <v>31448.592789999999</v>
      </c>
      <c r="G33" s="202">
        <f>район!D93</f>
        <v>2781.9590499999999</v>
      </c>
      <c r="H33" s="203">
        <f t="shared" si="1"/>
        <v>8.8460525676831097</v>
      </c>
    </row>
    <row r="34" spans="1:9" ht="30" customHeight="1" x14ac:dyDescent="0.2">
      <c r="A34" s="80" t="s">
        <v>197</v>
      </c>
      <c r="B34" s="81" t="s">
        <v>55</v>
      </c>
      <c r="C34" s="201">
        <v>119953.70041999999</v>
      </c>
      <c r="D34" s="201">
        <v>12.33</v>
      </c>
      <c r="E34" s="202">
        <f t="shared" si="4"/>
        <v>1.0278965931712271E-2</v>
      </c>
      <c r="F34" s="195">
        <f>район!C98</f>
        <v>162279.97465999998</v>
      </c>
      <c r="G34" s="202">
        <f>район!D98</f>
        <v>43673.623870000003</v>
      </c>
      <c r="H34" s="203">
        <f t="shared" si="1"/>
        <v>26.912515830435989</v>
      </c>
    </row>
    <row r="35" spans="1:9" ht="30" customHeight="1" x14ac:dyDescent="0.2">
      <c r="A35" s="80" t="s">
        <v>198</v>
      </c>
      <c r="B35" s="81" t="s">
        <v>65</v>
      </c>
      <c r="C35" s="201">
        <v>132002.96557</v>
      </c>
      <c r="D35" s="201">
        <v>20.5</v>
      </c>
      <c r="E35" s="202">
        <f t="shared" si="4"/>
        <v>1.5529954127529834E-2</v>
      </c>
      <c r="F35" s="195">
        <f>район!C121</f>
        <v>174670.46406</v>
      </c>
      <c r="G35" s="202">
        <f>район!D121</f>
        <v>26984.934569999998</v>
      </c>
      <c r="H35" s="203">
        <f t="shared" si="1"/>
        <v>15.449054146172397</v>
      </c>
    </row>
    <row r="36" spans="1:9" ht="30" customHeight="1" x14ac:dyDescent="0.2">
      <c r="A36" s="80" t="s">
        <v>199</v>
      </c>
      <c r="B36" s="81" t="s">
        <v>73</v>
      </c>
      <c r="C36" s="199">
        <f>F36</f>
        <v>1162.05</v>
      </c>
      <c r="D36" s="199">
        <f>G36</f>
        <v>648.91762000000006</v>
      </c>
      <c r="E36" s="202">
        <f t="shared" si="4"/>
        <v>55.842486984208946</v>
      </c>
      <c r="F36" s="195">
        <f>район!C143</f>
        <v>1162.05</v>
      </c>
      <c r="G36" s="202">
        <f>район!D143</f>
        <v>648.91762000000006</v>
      </c>
      <c r="H36" s="203">
        <f t="shared" si="1"/>
        <v>55.842486984208946</v>
      </c>
    </row>
    <row r="37" spans="1:9" ht="30" customHeight="1" x14ac:dyDescent="0.2">
      <c r="A37" s="80" t="s">
        <v>200</v>
      </c>
      <c r="B37" s="81" t="s">
        <v>75</v>
      </c>
      <c r="C37" s="199">
        <f>F37</f>
        <v>686612.26360999991</v>
      </c>
      <c r="D37" s="199">
        <f>G37</f>
        <v>390746.94524000003</v>
      </c>
      <c r="E37" s="202">
        <f t="shared" si="4"/>
        <v>56.90940374201454</v>
      </c>
      <c r="F37" s="195">
        <f>район!C148</f>
        <v>686612.26360999991</v>
      </c>
      <c r="G37" s="202">
        <f>район!D148</f>
        <v>390746.94524000003</v>
      </c>
      <c r="H37" s="203">
        <f t="shared" si="1"/>
        <v>56.90940374201454</v>
      </c>
    </row>
    <row r="38" spans="1:9" ht="30" customHeight="1" x14ac:dyDescent="0.2">
      <c r="A38" s="80" t="s">
        <v>201</v>
      </c>
      <c r="B38" s="81" t="s">
        <v>81</v>
      </c>
      <c r="C38" s="201">
        <v>53583.964</v>
      </c>
      <c r="D38" s="201">
        <v>3468.4</v>
      </c>
      <c r="E38" s="202">
        <f t="shared" si="4"/>
        <v>6.4728320584867518</v>
      </c>
      <c r="F38" s="195">
        <f>район!C171</f>
        <v>114559.58645</v>
      </c>
      <c r="G38" s="202">
        <f>район!D171</f>
        <v>45096.060870000001</v>
      </c>
      <c r="H38" s="203">
        <f t="shared" si="1"/>
        <v>39.36472037604846</v>
      </c>
      <c r="I38" s="82"/>
    </row>
    <row r="39" spans="1:9" ht="30" customHeight="1" x14ac:dyDescent="0.2">
      <c r="A39" s="80" t="s">
        <v>202</v>
      </c>
      <c r="B39" s="81" t="s">
        <v>203</v>
      </c>
      <c r="C39" s="201">
        <v>40552.978329999998</v>
      </c>
      <c r="D39" s="201">
        <v>0</v>
      </c>
      <c r="E39" s="202">
        <f t="shared" si="4"/>
        <v>0</v>
      </c>
      <c r="F39" s="195">
        <f>район!C179</f>
        <v>50990.811979999999</v>
      </c>
      <c r="G39" s="202">
        <f>район!D179</f>
        <v>41852.83956</v>
      </c>
      <c r="H39" s="203">
        <f t="shared" si="1"/>
        <v>82.079178453592462</v>
      </c>
    </row>
    <row r="40" spans="1:9" ht="30" customHeight="1" x14ac:dyDescent="0.2">
      <c r="A40" s="80" t="s">
        <v>204</v>
      </c>
      <c r="B40" s="81" t="s">
        <v>90</v>
      </c>
      <c r="C40" s="201">
        <v>7825.1</v>
      </c>
      <c r="D40" s="201">
        <v>306.25400000000002</v>
      </c>
      <c r="E40" s="202">
        <f t="shared" si="4"/>
        <v>3.913739121544773</v>
      </c>
      <c r="F40" s="195">
        <f>район!C189</f>
        <v>17285.738469999997</v>
      </c>
      <c r="G40" s="202">
        <f>район!D189</f>
        <v>12592.858850000001</v>
      </c>
      <c r="H40" s="203">
        <f t="shared" si="1"/>
        <v>72.851147620076205</v>
      </c>
    </row>
    <row r="41" spans="1:9" ht="30" customHeight="1" x14ac:dyDescent="0.2">
      <c r="A41" s="80" t="s">
        <v>205</v>
      </c>
      <c r="B41" s="81" t="s">
        <v>102</v>
      </c>
      <c r="C41" s="195">
        <f>F41</f>
        <v>0</v>
      </c>
      <c r="D41" s="195">
        <f>G41</f>
        <v>0</v>
      </c>
      <c r="E41" s="202" t="e">
        <f t="shared" si="4"/>
        <v>#DIV/0!</v>
      </c>
      <c r="F41" s="195">
        <f>район!C195</f>
        <v>0</v>
      </c>
      <c r="G41" s="202">
        <f>район!D195</f>
        <v>0</v>
      </c>
      <c r="H41" s="203" t="e">
        <f t="shared" si="1"/>
        <v>#DIV/0!</v>
      </c>
    </row>
    <row r="42" spans="1:9" ht="34.5" customHeight="1" x14ac:dyDescent="0.2">
      <c r="A42" s="80" t="s">
        <v>206</v>
      </c>
      <c r="B42" s="81" t="s">
        <v>106</v>
      </c>
      <c r="C42" s="195">
        <f>F42</f>
        <v>0</v>
      </c>
      <c r="D42" s="195">
        <f>G42</f>
        <v>0</v>
      </c>
      <c r="E42" s="202"/>
      <c r="F42" s="195">
        <f>район!C197</f>
        <v>0</v>
      </c>
      <c r="G42" s="202">
        <f>район!D197</f>
        <v>0</v>
      </c>
      <c r="H42" s="203">
        <v>0</v>
      </c>
    </row>
    <row r="43" spans="1:9" ht="30" customHeight="1" x14ac:dyDescent="0.2">
      <c r="A43" s="80" t="s">
        <v>207</v>
      </c>
      <c r="B43" s="81" t="s">
        <v>208</v>
      </c>
      <c r="C43" s="195">
        <v>0</v>
      </c>
      <c r="D43" s="195">
        <v>0</v>
      </c>
      <c r="E43" s="202">
        <v>0</v>
      </c>
      <c r="F43" s="195" t="e">
        <f>район!#REF!</f>
        <v>#REF!</v>
      </c>
      <c r="G43" s="202" t="e">
        <f>район!#REF!</f>
        <v>#REF!</v>
      </c>
      <c r="H43" s="203" t="e">
        <f t="shared" si="1"/>
        <v>#REF!</v>
      </c>
    </row>
    <row r="44" spans="1:9" x14ac:dyDescent="0.2">
      <c r="A44" s="137"/>
      <c r="B44" s="138"/>
      <c r="C44" s="136"/>
      <c r="D44" s="136"/>
      <c r="E44" s="136"/>
      <c r="F44" s="136"/>
      <c r="G44" s="136"/>
      <c r="H44" s="136"/>
    </row>
    <row r="45" spans="1:9" hidden="1" x14ac:dyDescent="0.2">
      <c r="A45" s="137"/>
      <c r="B45" s="138"/>
      <c r="C45" s="136">
        <f>C29-C30</f>
        <v>-158854.34822999989</v>
      </c>
      <c r="D45" s="136">
        <f>D29-D30</f>
        <v>-351554.66262000008</v>
      </c>
      <c r="E45" s="136"/>
      <c r="F45" s="136" t="e">
        <f>F29-F30</f>
        <v>#REF!</v>
      </c>
      <c r="G45" s="136" t="e">
        <f>G29-G30</f>
        <v>#REF!</v>
      </c>
      <c r="H45" s="136"/>
    </row>
    <row r="46" spans="1:9" hidden="1" x14ac:dyDescent="0.2">
      <c r="A46" s="137"/>
      <c r="B46" s="138"/>
      <c r="C46" s="136" t="e">
        <f>C45-F46</f>
        <v>#REF!</v>
      </c>
      <c r="D46" s="136" t="e">
        <f>D45-G46</f>
        <v>#REF!</v>
      </c>
      <c r="E46" s="136"/>
      <c r="F46" s="136" t="e">
        <f>F45+#REF!</f>
        <v>#REF!</v>
      </c>
      <c r="G46" s="136" t="e">
        <f>G45+#REF!</f>
        <v>#REF!</v>
      </c>
      <c r="H46" s="136"/>
    </row>
    <row r="47" spans="1:9" ht="20.25" hidden="1" customHeight="1" x14ac:dyDescent="0.2">
      <c r="A47" s="137"/>
      <c r="B47" s="138"/>
      <c r="C47" s="139"/>
      <c r="D47" s="139"/>
      <c r="E47" s="140"/>
      <c r="F47" s="140" t="e">
        <f>C30+F46-C23-C28</f>
        <v>#REF!</v>
      </c>
      <c r="G47" s="140" t="e">
        <f>D30+G46-D23-D28</f>
        <v>#REF!</v>
      </c>
      <c r="H47" s="134"/>
    </row>
    <row r="48" spans="1:9" x14ac:dyDescent="0.2">
      <c r="A48" s="137"/>
      <c r="B48" s="138"/>
      <c r="C48" s="206"/>
      <c r="D48" s="136"/>
      <c r="E48" s="136"/>
      <c r="F48" s="136"/>
      <c r="G48" s="136"/>
      <c r="H48" s="136"/>
    </row>
    <row r="49" spans="1:8" x14ac:dyDescent="0.2">
      <c r="A49" s="137"/>
      <c r="B49" s="138"/>
      <c r="C49" s="136"/>
      <c r="D49" s="136"/>
      <c r="E49" s="136"/>
      <c r="F49" s="136"/>
      <c r="G49" s="136"/>
      <c r="H49" s="136"/>
    </row>
    <row r="50" spans="1:8" x14ac:dyDescent="0.2">
      <c r="A50" s="137"/>
      <c r="B50" s="138"/>
      <c r="C50" s="136"/>
      <c r="D50" s="136"/>
      <c r="E50" s="136"/>
      <c r="F50" s="136"/>
      <c r="G50" s="136"/>
      <c r="H50" s="136"/>
    </row>
    <row r="51" spans="1:8" x14ac:dyDescent="0.2">
      <c r="A51" s="137" t="s">
        <v>114</v>
      </c>
      <c r="B51" s="138"/>
      <c r="C51" s="139"/>
      <c r="D51" s="139"/>
      <c r="E51" s="140"/>
      <c r="F51" s="140"/>
      <c r="G51" s="140"/>
      <c r="H51" s="134"/>
    </row>
    <row r="52" spans="1:8" x14ac:dyDescent="0.2">
      <c r="A52" s="137" t="s">
        <v>209</v>
      </c>
      <c r="B52" s="138"/>
      <c r="C52" s="141" t="s">
        <v>250</v>
      </c>
      <c r="D52" s="557"/>
      <c r="E52" s="557"/>
      <c r="F52" s="142"/>
      <c r="G52" s="140"/>
      <c r="H52" s="134"/>
    </row>
    <row r="53" spans="1:8" x14ac:dyDescent="0.2">
      <c r="C53" s="85"/>
      <c r="D53" s="85"/>
      <c r="F53" s="82"/>
      <c r="G53" s="82"/>
    </row>
    <row r="54" spans="1:8" x14ac:dyDescent="0.2">
      <c r="C54" s="89"/>
      <c r="D54" s="89"/>
      <c r="F54" s="82"/>
      <c r="G54" s="82"/>
    </row>
    <row r="55" spans="1:8" x14ac:dyDescent="0.2">
      <c r="C55" s="97"/>
      <c r="D55" s="82"/>
      <c r="F55" s="82"/>
      <c r="G55" s="82"/>
    </row>
    <row r="56" spans="1:8" x14ac:dyDescent="0.2">
      <c r="C56" s="97"/>
      <c r="D56" s="82"/>
    </row>
  </sheetData>
  <customSheetViews>
    <customSheetView guid="{4D5E6ACC-9055-4DE9-8C20-9052F3C35D19}" scale="80" showPageBreaks="1" printArea="1" hiddenRows="1" state="hidden" view="pageBreakPreview" topLeftCell="A22">
      <selection activeCell="G10" sqref="G10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"/>
    </customSheetView>
    <customSheetView guid="{5C539BE6-C8E0-453F-AB5E-9E58094195EA}" scale="80" showPageBreaks="1" printArea="1" hiddenRows="1" view="pageBreakPreview">
      <selection activeCell="D9" sqref="D9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2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3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4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5"/>
    </customSheetView>
    <customSheetView guid="{B31C8DB7-3E78-4144-A6B5-8DE36DE63F0E}" scale="80" showPageBreaks="1" printArea="1" hiddenRows="1" view="pageBreakPreview" topLeftCell="A13">
      <selection activeCell="C24" sqref="C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6"/>
    </customSheetView>
    <customSheetView guid="{5BFCA170-DEAE-4D2C-98A0-1E68B427AC01}" scale="80" showPageBreaks="1" printArea="1" hiddenRows="1" view="pageBreakPreview">
      <selection activeCell="C25" sqref="C25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7"/>
    </customSheetView>
    <customSheetView guid="{B30CE22D-C12F-4E12-8BB9-3AAE0A6991CC}" scale="80" showPageBreaks="1" printArea="1" hiddenRows="1" view="pageBreakPreview">
      <selection activeCell="C23" sqref="C23"/>
      <rowBreaks count="1" manualBreakCount="1">
        <brk id="28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8"/>
    </customSheetView>
    <customSheetView guid="{1718F1EE-9F48-4DBE-9531-3B70F9C4A5DD}" scale="80" showPageBreaks="1" printArea="1" hiddenRows="1" view="pageBreakPreview">
      <selection activeCell="A2" sqref="A2:A3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9"/>
    </customSheetView>
    <customSheetView guid="{3DCB9AAA-F09C-4EA6-B992-F93E466D374A}" printArea="1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10"/>
    </customSheetView>
    <customSheetView guid="{F85EE840-0C31-454A-8951-832C2E9E0600}" scale="80" showPageBreaks="1" printArea="1" hiddenRows="1" state="hidden" view="pageBreakPreview" topLeftCell="A25">
      <selection activeCell="D73" sqref="D73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1"/>
    </customSheetView>
    <customSheetView guid="{F1E84C44-1ACD-474A-BDE0-C7088DB6C590}" scale="80" showPageBreaks="1" printArea="1" hiddenRows="1" state="hidden" view="pageBreakPreview" topLeftCell="A22">
      <selection activeCell="G10" sqref="G10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2"/>
    </customSheetView>
    <customSheetView guid="{61528DAC-5C4C-48F4-ADE2-8A724B05A086}" scale="80" showPageBreaks="1" printArea="1" hiddenRows="1" state="hidden" view="pageBreakPreview" topLeftCell="A22">
      <selection activeCell="G10" sqref="G10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3"/>
    </customSheetView>
  </customSheetViews>
  <mergeCells count="6">
    <mergeCell ref="C2:E2"/>
    <mergeCell ref="D52:E52"/>
    <mergeCell ref="A2:A3"/>
    <mergeCell ref="B2:B3"/>
    <mergeCell ref="A1:H1"/>
    <mergeCell ref="F2:H2"/>
  </mergeCells>
  <phoneticPr fontId="14" type="noConversion"/>
  <pageMargins left="0.70866141732283472" right="0.70866141732283472" top="0.35433070866141736" bottom="0.74803149606299213" header="0.31496062992125984" footer="0.31496062992125984"/>
  <pageSetup paperSize="9" scale="60" orientation="landscape" r:id="rId14"/>
  <rowBreaks count="1" manualBreakCount="1">
    <brk id="28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G143"/>
  <sheetViews>
    <sheetView view="pageBreakPreview" topLeftCell="A31" zoomScale="70" zoomScaleSheetLayoutView="86" workbookViewId="0">
      <selection activeCell="D70" sqref="D70"/>
    </sheetView>
  </sheetViews>
  <sheetFormatPr defaultRowHeight="15.75" x14ac:dyDescent="0.2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x14ac:dyDescent="0.25">
      <c r="A1" s="599" t="s">
        <v>420</v>
      </c>
      <c r="B1" s="599"/>
      <c r="C1" s="599"/>
      <c r="D1" s="599"/>
      <c r="E1" s="599"/>
      <c r="F1" s="599"/>
    </row>
    <row r="2" spans="1:6" x14ac:dyDescent="0.25">
      <c r="A2" s="599"/>
      <c r="B2" s="599"/>
      <c r="C2" s="599"/>
      <c r="D2" s="599"/>
      <c r="E2" s="599"/>
      <c r="F2" s="599"/>
    </row>
    <row r="3" spans="1:6" ht="63" x14ac:dyDescent="0.25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 x14ac:dyDescent="0.25">
      <c r="A4" s="3"/>
      <c r="B4" s="4" t="s">
        <v>4</v>
      </c>
      <c r="C4" s="5">
        <f>C5+C12+C14+C17+C20+C7</f>
        <v>5621.4025799999999</v>
      </c>
      <c r="D4" s="5">
        <f>D5+D12+D14+D17+D20+D7</f>
        <v>5234.1957199999997</v>
      </c>
      <c r="E4" s="5">
        <f>SUM(D4/C4*100)</f>
        <v>93.111917275279012</v>
      </c>
      <c r="F4" s="5">
        <f>SUM(D4-C4)</f>
        <v>-387.20686000000023</v>
      </c>
    </row>
    <row r="5" spans="1:6" s="6" customFormat="1" x14ac:dyDescent="0.25">
      <c r="A5" s="68">
        <v>1010000000</v>
      </c>
      <c r="B5" s="67" t="s">
        <v>5</v>
      </c>
      <c r="C5" s="5">
        <f>C6</f>
        <v>1704</v>
      </c>
      <c r="D5" s="5">
        <f>D6</f>
        <v>1630.09545</v>
      </c>
      <c r="E5" s="5">
        <f t="shared" ref="E5:E52" si="0">SUM(D5/C5*100)</f>
        <v>95.662878521126757</v>
      </c>
      <c r="F5" s="5">
        <f t="shared" ref="F5:F52" si="1">SUM(D5-C5)</f>
        <v>-73.904549999999972</v>
      </c>
    </row>
    <row r="6" spans="1:6" x14ac:dyDescent="0.25">
      <c r="A6" s="7">
        <v>1010200001</v>
      </c>
      <c r="B6" s="8" t="s">
        <v>220</v>
      </c>
      <c r="C6" s="9">
        <v>1704</v>
      </c>
      <c r="D6" s="10">
        <v>1630.09545</v>
      </c>
      <c r="E6" s="9">
        <f t="shared" ref="E6:E11" si="2">SUM(D6/C6*100)</f>
        <v>95.662878521126757</v>
      </c>
      <c r="F6" s="9">
        <f t="shared" si="1"/>
        <v>-73.904549999999972</v>
      </c>
    </row>
    <row r="7" spans="1:6" ht="31.5" x14ac:dyDescent="0.25">
      <c r="A7" s="3">
        <v>1030000000</v>
      </c>
      <c r="B7" s="13" t="s">
        <v>259</v>
      </c>
      <c r="C7" s="5">
        <f>C8+C10+C9</f>
        <v>960.31</v>
      </c>
      <c r="D7" s="5">
        <f>D8+D10+D9+D11</f>
        <v>1017.0985899999999</v>
      </c>
      <c r="E7" s="9">
        <f t="shared" si="2"/>
        <v>105.91356853516052</v>
      </c>
      <c r="F7" s="9">
        <f t="shared" si="1"/>
        <v>56.788589999999999</v>
      </c>
    </row>
    <row r="8" spans="1:6" x14ac:dyDescent="0.25">
      <c r="A8" s="7">
        <v>1030223001</v>
      </c>
      <c r="B8" s="8" t="s">
        <v>261</v>
      </c>
      <c r="C8" s="9">
        <v>420.89600000000002</v>
      </c>
      <c r="D8" s="10">
        <v>509.87867</v>
      </c>
      <c r="E8" s="9">
        <f t="shared" si="2"/>
        <v>121.14124866950505</v>
      </c>
      <c r="F8" s="9">
        <f t="shared" si="1"/>
        <v>88.982669999999985</v>
      </c>
    </row>
    <row r="9" spans="1:6" x14ac:dyDescent="0.25">
      <c r="A9" s="7">
        <v>1030224001</v>
      </c>
      <c r="B9" s="8" t="s">
        <v>267</v>
      </c>
      <c r="C9" s="9">
        <v>3.4409999999999998</v>
      </c>
      <c r="D9" s="10">
        <v>2.7541500000000001</v>
      </c>
      <c r="E9" s="9">
        <f t="shared" si="2"/>
        <v>80.039232781168266</v>
      </c>
      <c r="F9" s="9">
        <f t="shared" si="1"/>
        <v>-0.68684999999999974</v>
      </c>
    </row>
    <row r="10" spans="1:6" x14ac:dyDescent="0.25">
      <c r="A10" s="7">
        <v>1030225001</v>
      </c>
      <c r="B10" s="8" t="s">
        <v>260</v>
      </c>
      <c r="C10" s="9">
        <v>535.97299999999996</v>
      </c>
      <c r="D10" s="10">
        <v>562.96364000000005</v>
      </c>
      <c r="E10" s="9">
        <f t="shared" si="2"/>
        <v>105.03582083425846</v>
      </c>
      <c r="F10" s="9">
        <f t="shared" si="1"/>
        <v>26.990640000000099</v>
      </c>
    </row>
    <row r="11" spans="1:6" x14ac:dyDescent="0.25">
      <c r="A11" s="7">
        <v>1030226001</v>
      </c>
      <c r="B11" s="8" t="s">
        <v>270</v>
      </c>
      <c r="C11" s="9">
        <v>0</v>
      </c>
      <c r="D11" s="10">
        <v>-58.497869999999999</v>
      </c>
      <c r="E11" s="9" t="e">
        <f t="shared" si="2"/>
        <v>#DIV/0!</v>
      </c>
      <c r="F11" s="9">
        <f t="shared" si="1"/>
        <v>-58.497869999999999</v>
      </c>
    </row>
    <row r="12" spans="1:6" s="6" customFormat="1" x14ac:dyDescent="0.25">
      <c r="A12" s="68">
        <v>1050000000</v>
      </c>
      <c r="B12" s="67" t="s">
        <v>6</v>
      </c>
      <c r="C12" s="5">
        <f>SUM(C13:C13)</f>
        <v>60</v>
      </c>
      <c r="D12" s="5">
        <f>SUM(D13:D13)</f>
        <v>58.41</v>
      </c>
      <c r="E12" s="5">
        <f t="shared" si="0"/>
        <v>97.35</v>
      </c>
      <c r="F12" s="5">
        <f t="shared" si="1"/>
        <v>-1.5900000000000034</v>
      </c>
    </row>
    <row r="13" spans="1:6" ht="15.75" customHeight="1" x14ac:dyDescent="0.25">
      <c r="A13" s="7">
        <v>1050300000</v>
      </c>
      <c r="B13" s="11" t="s">
        <v>221</v>
      </c>
      <c r="C13" s="12">
        <v>60</v>
      </c>
      <c r="D13" s="10">
        <v>58.41</v>
      </c>
      <c r="E13" s="9">
        <f t="shared" si="0"/>
        <v>97.35</v>
      </c>
      <c r="F13" s="9">
        <f t="shared" si="1"/>
        <v>-1.5900000000000034</v>
      </c>
    </row>
    <row r="14" spans="1:6" s="6" customFormat="1" ht="15.75" customHeight="1" x14ac:dyDescent="0.25">
      <c r="A14" s="68">
        <v>1060000000</v>
      </c>
      <c r="B14" s="67" t="s">
        <v>129</v>
      </c>
      <c r="C14" s="5">
        <f>C15+C16</f>
        <v>2889.09258</v>
      </c>
      <c r="D14" s="5">
        <f>D15+D16</f>
        <v>2524.8916800000002</v>
      </c>
      <c r="E14" s="5">
        <f t="shared" si="0"/>
        <v>87.393934603507944</v>
      </c>
      <c r="F14" s="5">
        <f t="shared" si="1"/>
        <v>-364.20089999999982</v>
      </c>
    </row>
    <row r="15" spans="1:6" s="6" customFormat="1" ht="15.75" customHeight="1" x14ac:dyDescent="0.25">
      <c r="A15" s="7">
        <v>1060100000</v>
      </c>
      <c r="B15" s="11" t="s">
        <v>8</v>
      </c>
      <c r="C15" s="9">
        <v>999</v>
      </c>
      <c r="D15" s="10">
        <v>581.25049000000001</v>
      </c>
      <c r="E15" s="9">
        <f t="shared" si="0"/>
        <v>58.183232232232228</v>
      </c>
      <c r="F15" s="9">
        <f>SUM(D15-C15)</f>
        <v>-417.74950999999999</v>
      </c>
    </row>
    <row r="16" spans="1:6" ht="15.75" customHeight="1" x14ac:dyDescent="0.25">
      <c r="A16" s="7">
        <v>1060600000</v>
      </c>
      <c r="B16" s="11" t="s">
        <v>7</v>
      </c>
      <c r="C16" s="9">
        <v>1890.09258</v>
      </c>
      <c r="D16" s="10">
        <v>1943.6411900000001</v>
      </c>
      <c r="E16" s="9">
        <f t="shared" si="0"/>
        <v>102.83312101040045</v>
      </c>
      <c r="F16" s="9">
        <f t="shared" si="1"/>
        <v>53.548610000000053</v>
      </c>
    </row>
    <row r="17" spans="1:6" s="6" customFormat="1" x14ac:dyDescent="0.25">
      <c r="A17" s="3">
        <v>1080000000</v>
      </c>
      <c r="B17" s="4" t="s">
        <v>10</v>
      </c>
      <c r="C17" s="5">
        <f>C18</f>
        <v>8</v>
      </c>
      <c r="D17" s="5">
        <f>D18</f>
        <v>3.7</v>
      </c>
      <c r="E17" s="5">
        <f t="shared" si="0"/>
        <v>46.25</v>
      </c>
      <c r="F17" s="5">
        <f t="shared" si="1"/>
        <v>-4.3</v>
      </c>
    </row>
    <row r="18" spans="1:6" ht="15" customHeight="1" x14ac:dyDescent="0.25">
      <c r="A18" s="7">
        <v>1080400001</v>
      </c>
      <c r="B18" s="8" t="s">
        <v>219</v>
      </c>
      <c r="C18" s="9">
        <v>8</v>
      </c>
      <c r="D18" s="10">
        <v>3.7</v>
      </c>
      <c r="E18" s="9">
        <f t="shared" si="0"/>
        <v>46.25</v>
      </c>
      <c r="F18" s="9">
        <f t="shared" si="1"/>
        <v>-4.3</v>
      </c>
    </row>
    <row r="19" spans="1:6" ht="15" hidden="1" customHeight="1" x14ac:dyDescent="0.25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 x14ac:dyDescent="0.25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 x14ac:dyDescent="0.25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 x14ac:dyDescent="0.25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 x14ac:dyDescent="0.25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 x14ac:dyDescent="0.25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 x14ac:dyDescent="0.25">
      <c r="A25" s="3"/>
      <c r="B25" s="4" t="s">
        <v>12</v>
      </c>
      <c r="C25" s="5">
        <f>C26+C29+C31+C36+C34</f>
        <v>2266.2399999999998</v>
      </c>
      <c r="D25" s="5">
        <f>D26+D29+D31+D36+D34</f>
        <v>2362.02324</v>
      </c>
      <c r="E25" s="5">
        <f t="shared" si="0"/>
        <v>104.22652675797799</v>
      </c>
      <c r="F25" s="5">
        <f t="shared" si="1"/>
        <v>95.783240000000205</v>
      </c>
    </row>
    <row r="26" spans="1:6" s="6" customFormat="1" ht="30" customHeight="1" x14ac:dyDescent="0.25">
      <c r="A26" s="68">
        <v>1110000000</v>
      </c>
      <c r="B26" s="69" t="s">
        <v>122</v>
      </c>
      <c r="C26" s="5">
        <f>C27+C28</f>
        <v>0</v>
      </c>
      <c r="D26" s="5">
        <f>D27+D28</f>
        <v>27.3</v>
      </c>
      <c r="E26" s="5" t="e">
        <f t="shared" si="0"/>
        <v>#DIV/0!</v>
      </c>
      <c r="F26" s="5">
        <f t="shared" si="1"/>
        <v>27.3</v>
      </c>
    </row>
    <row r="27" spans="1:6" x14ac:dyDescent="0.25">
      <c r="A27" s="16">
        <v>1110502000</v>
      </c>
      <c r="B27" s="17" t="s">
        <v>217</v>
      </c>
      <c r="C27" s="12">
        <v>0</v>
      </c>
      <c r="D27" s="10">
        <v>27.3</v>
      </c>
      <c r="E27" s="9" t="e">
        <f t="shared" si="0"/>
        <v>#DIV/0!</v>
      </c>
      <c r="F27" s="9">
        <f t="shared" si="1"/>
        <v>27.3</v>
      </c>
    </row>
    <row r="28" spans="1:6" ht="18" customHeight="1" x14ac:dyDescent="0.25">
      <c r="A28" s="7">
        <v>1110503505</v>
      </c>
      <c r="B28" s="11" t="s">
        <v>13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8" customHeight="1" x14ac:dyDescent="0.25">
      <c r="A29" s="68">
        <v>1130000000</v>
      </c>
      <c r="B29" s="69" t="s">
        <v>124</v>
      </c>
      <c r="C29" s="5">
        <f>C30</f>
        <v>0</v>
      </c>
      <c r="D29" s="5">
        <f>D30</f>
        <v>0.39237</v>
      </c>
      <c r="E29" s="5" t="e">
        <f t="shared" si="0"/>
        <v>#DIV/0!</v>
      </c>
      <c r="F29" s="5">
        <f t="shared" si="1"/>
        <v>0.39237</v>
      </c>
    </row>
    <row r="30" spans="1:6" ht="18" customHeight="1" x14ac:dyDescent="0.25">
      <c r="A30" s="7">
        <v>1130299000</v>
      </c>
      <c r="B30" s="8" t="s">
        <v>399</v>
      </c>
      <c r="C30" s="9">
        <v>0</v>
      </c>
      <c r="D30" s="10">
        <v>0.39237</v>
      </c>
      <c r="E30" s="9" t="e">
        <f t="shared" si="0"/>
        <v>#DIV/0!</v>
      </c>
      <c r="F30" s="9">
        <f t="shared" si="1"/>
        <v>0.39237</v>
      </c>
    </row>
    <row r="31" spans="1:6" ht="15.75" customHeight="1" x14ac:dyDescent="0.25">
      <c r="A31" s="70">
        <v>1140000000</v>
      </c>
      <c r="B31" s="71" t="s">
        <v>125</v>
      </c>
      <c r="C31" s="5">
        <f>C32+C33</f>
        <v>1366.24</v>
      </c>
      <c r="D31" s="5">
        <f>D32+D33</f>
        <v>1366.24</v>
      </c>
      <c r="E31" s="5">
        <f t="shared" si="0"/>
        <v>100</v>
      </c>
      <c r="F31" s="5">
        <f t="shared" si="1"/>
        <v>0</v>
      </c>
    </row>
    <row r="32" spans="1:6" ht="15.75" customHeight="1" x14ac:dyDescent="0.25">
      <c r="A32" s="16">
        <v>1140200000</v>
      </c>
      <c r="B32" s="18" t="s">
        <v>213</v>
      </c>
      <c r="C32" s="9">
        <v>1009.24</v>
      </c>
      <c r="D32" s="10">
        <v>1009.24</v>
      </c>
      <c r="E32" s="9">
        <f t="shared" si="0"/>
        <v>100</v>
      </c>
      <c r="F32" s="9">
        <f t="shared" si="1"/>
        <v>0</v>
      </c>
    </row>
    <row r="33" spans="1:7" ht="15.75" customHeight="1" x14ac:dyDescent="0.25">
      <c r="A33" s="7">
        <v>1140600000</v>
      </c>
      <c r="B33" s="8" t="s">
        <v>214</v>
      </c>
      <c r="C33" s="9">
        <v>357</v>
      </c>
      <c r="D33" s="10">
        <v>357</v>
      </c>
      <c r="E33" s="9">
        <f t="shared" si="0"/>
        <v>100</v>
      </c>
      <c r="F33" s="9">
        <f t="shared" si="1"/>
        <v>0</v>
      </c>
    </row>
    <row r="34" spans="1:7" ht="15.75" customHeight="1" x14ac:dyDescent="0.25">
      <c r="A34" s="3">
        <v>1160000000</v>
      </c>
      <c r="B34" s="13" t="s">
        <v>236</v>
      </c>
      <c r="C34" s="5">
        <f>C35</f>
        <v>0</v>
      </c>
      <c r="D34" s="5">
        <f>D35</f>
        <v>10.480639999999999</v>
      </c>
      <c r="E34" s="5" t="e">
        <f t="shared" si="0"/>
        <v>#DIV/0!</v>
      </c>
      <c r="F34" s="5">
        <f t="shared" si="1"/>
        <v>10.480639999999999</v>
      </c>
    </row>
    <row r="35" spans="1:7" ht="15" customHeight="1" x14ac:dyDescent="0.25">
      <c r="A35" s="7">
        <v>1160701010</v>
      </c>
      <c r="B35" s="8" t="s">
        <v>402</v>
      </c>
      <c r="C35" s="9">
        <v>0</v>
      </c>
      <c r="D35" s="10">
        <v>10.480639999999999</v>
      </c>
      <c r="E35" s="9" t="e">
        <f t="shared" si="0"/>
        <v>#DIV/0!</v>
      </c>
      <c r="F35" s="9">
        <f t="shared" si="1"/>
        <v>10.480639999999999</v>
      </c>
    </row>
    <row r="36" spans="1:7" ht="15" customHeight="1" x14ac:dyDescent="0.25">
      <c r="A36" s="3">
        <v>1170000000</v>
      </c>
      <c r="B36" s="13" t="s">
        <v>128</v>
      </c>
      <c r="C36" s="5">
        <f>C37+C38</f>
        <v>900</v>
      </c>
      <c r="D36" s="5">
        <f>D37+D38</f>
        <v>957.61023</v>
      </c>
      <c r="E36" s="5">
        <f t="shared" si="0"/>
        <v>106.40113666666666</v>
      </c>
      <c r="F36" s="5">
        <f t="shared" si="1"/>
        <v>57.610230000000001</v>
      </c>
    </row>
    <row r="37" spans="1:7" ht="15" customHeight="1" x14ac:dyDescent="0.25">
      <c r="A37" s="7">
        <v>1170105005</v>
      </c>
      <c r="B37" s="8" t="s">
        <v>15</v>
      </c>
      <c r="C37" s="9">
        <v>0</v>
      </c>
      <c r="D37" s="9"/>
      <c r="E37" s="9" t="e">
        <f t="shared" si="0"/>
        <v>#DIV/0!</v>
      </c>
      <c r="F37" s="9">
        <f t="shared" si="1"/>
        <v>0</v>
      </c>
    </row>
    <row r="38" spans="1:7" ht="15" customHeight="1" x14ac:dyDescent="0.25">
      <c r="A38" s="7">
        <v>1171503010</v>
      </c>
      <c r="B38" s="11" t="s">
        <v>406</v>
      </c>
      <c r="C38" s="9">
        <v>900</v>
      </c>
      <c r="D38" s="10">
        <v>957.61023</v>
      </c>
      <c r="E38" s="9">
        <f t="shared" si="0"/>
        <v>106.40113666666666</v>
      </c>
      <c r="F38" s="9">
        <f t="shared" si="1"/>
        <v>57.610230000000001</v>
      </c>
    </row>
    <row r="39" spans="1:7" s="6" customFormat="1" ht="15" customHeight="1" x14ac:dyDescent="0.25">
      <c r="A39" s="3">
        <v>1000000000</v>
      </c>
      <c r="B39" s="4" t="s">
        <v>16</v>
      </c>
      <c r="C39" s="125">
        <f>SUM(C4,C25)</f>
        <v>7887.6425799999997</v>
      </c>
      <c r="D39" s="125">
        <f>SUM(D4,D25)</f>
        <v>7596.2189600000002</v>
      </c>
      <c r="E39" s="5">
        <f t="shared" si="0"/>
        <v>96.305314077758325</v>
      </c>
      <c r="F39" s="5">
        <f t="shared" si="1"/>
        <v>-291.42361999999957</v>
      </c>
    </row>
    <row r="40" spans="1:7" s="6" customFormat="1" ht="20.25" customHeight="1" x14ac:dyDescent="0.25">
      <c r="A40" s="3">
        <v>2000000000</v>
      </c>
      <c r="B40" s="4" t="s">
        <v>17</v>
      </c>
      <c r="C40" s="5">
        <f>C41+C43+C45+C46+C48+C49+C42+C44+C51+C47</f>
        <v>14862.764200000001</v>
      </c>
      <c r="D40" s="224">
        <f>D41+D43+D45+D46+D48+D49+D42+D44+D51</f>
        <v>14746.343390000002</v>
      </c>
      <c r="E40" s="5">
        <f t="shared" si="0"/>
        <v>99.216694765298115</v>
      </c>
      <c r="F40" s="5">
        <f t="shared" si="1"/>
        <v>-116.42080999999962</v>
      </c>
      <c r="G40" s="19"/>
    </row>
    <row r="41" spans="1:7" ht="15.75" customHeight="1" x14ac:dyDescent="0.25">
      <c r="A41" s="16">
        <v>2021000000</v>
      </c>
      <c r="B41" s="17" t="s">
        <v>18</v>
      </c>
      <c r="C41" s="12">
        <v>1479.2</v>
      </c>
      <c r="D41" s="20">
        <v>1479.2</v>
      </c>
      <c r="E41" s="9">
        <f t="shared" si="0"/>
        <v>100</v>
      </c>
      <c r="F41" s="9">
        <f t="shared" si="1"/>
        <v>0</v>
      </c>
    </row>
    <row r="42" spans="1:7" ht="15.75" hidden="1" customHeight="1" x14ac:dyDescent="0.25">
      <c r="A42" s="16">
        <v>2020100310</v>
      </c>
      <c r="B42" s="17" t="s">
        <v>223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 x14ac:dyDescent="0.25">
      <c r="A43" s="16">
        <v>2022000000</v>
      </c>
      <c r="B43" s="17" t="s">
        <v>19</v>
      </c>
      <c r="C43" s="12">
        <v>9585.9362700000001</v>
      </c>
      <c r="D43" s="10">
        <v>9480.7693099999997</v>
      </c>
      <c r="E43" s="9">
        <f t="shared" si="0"/>
        <v>98.902903617989523</v>
      </c>
      <c r="F43" s="9">
        <f t="shared" si="1"/>
        <v>-105.16696000000047</v>
      </c>
    </row>
    <row r="44" spans="1:7" hidden="1" x14ac:dyDescent="0.25">
      <c r="A44" s="16">
        <v>2022999910</v>
      </c>
      <c r="B44" s="18" t="s">
        <v>322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 x14ac:dyDescent="0.25">
      <c r="A45" s="16">
        <v>2023000000</v>
      </c>
      <c r="B45" s="17" t="s">
        <v>20</v>
      </c>
      <c r="C45" s="12">
        <v>100.99429000000001</v>
      </c>
      <c r="D45" s="180">
        <v>100.99429000000001</v>
      </c>
      <c r="E45" s="9">
        <f t="shared" si="0"/>
        <v>100</v>
      </c>
      <c r="F45" s="9">
        <f t="shared" si="1"/>
        <v>0</v>
      </c>
    </row>
    <row r="46" spans="1:7" ht="12.75" customHeight="1" x14ac:dyDescent="0.25">
      <c r="A46" s="16">
        <v>2020400000</v>
      </c>
      <c r="B46" s="17" t="s">
        <v>21</v>
      </c>
      <c r="C46" s="12">
        <v>3696.63364</v>
      </c>
      <c r="D46" s="181">
        <v>3685.37979</v>
      </c>
      <c r="E46" s="9">
        <f t="shared" si="0"/>
        <v>99.695564908617769</v>
      </c>
      <c r="F46" s="9">
        <f t="shared" si="1"/>
        <v>-11.253850000000057</v>
      </c>
    </row>
    <row r="47" spans="1:7" ht="0.75" customHeight="1" x14ac:dyDescent="0.25">
      <c r="A47" s="16">
        <v>2020700000</v>
      </c>
      <c r="B47" s="17" t="s">
        <v>329</v>
      </c>
      <c r="C47" s="12">
        <v>0</v>
      </c>
      <c r="D47" s="181"/>
      <c r="E47" s="9"/>
      <c r="F47" s="9"/>
    </row>
    <row r="48" spans="1:7" ht="15" hidden="1" customHeight="1" x14ac:dyDescent="0.25">
      <c r="A48" s="16">
        <v>2020900000</v>
      </c>
      <c r="B48" s="18" t="s">
        <v>22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7" ht="15.75" customHeight="1" x14ac:dyDescent="0.25">
      <c r="A49" s="7">
        <v>2190500005</v>
      </c>
      <c r="B49" s="11" t="s">
        <v>23</v>
      </c>
      <c r="C49" s="14">
        <v>0</v>
      </c>
      <c r="D49" s="14">
        <v>0</v>
      </c>
      <c r="E49" s="5" t="e">
        <f>SUM(D49/C49*100)</f>
        <v>#DIV/0!</v>
      </c>
      <c r="F49" s="5">
        <f>SUM(D49-C49)</f>
        <v>0</v>
      </c>
    </row>
    <row r="50" spans="1:7" s="6" customFormat="1" ht="18" hidden="1" customHeight="1" x14ac:dyDescent="0.25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 x14ac:dyDescent="0.25">
      <c r="A51" s="7">
        <v>2070500010</v>
      </c>
      <c r="B51" s="8" t="s">
        <v>324</v>
      </c>
      <c r="C51" s="12"/>
      <c r="D51" s="10"/>
      <c r="E51" s="9" t="e">
        <f t="shared" si="0"/>
        <v>#DIV/0!</v>
      </c>
      <c r="F51" s="9">
        <f t="shared" si="1"/>
        <v>0</v>
      </c>
    </row>
    <row r="52" spans="1:7" s="6" customFormat="1" ht="15.75" customHeight="1" x14ac:dyDescent="0.25">
      <c r="A52" s="3"/>
      <c r="B52" s="4" t="s">
        <v>25</v>
      </c>
      <c r="C52" s="240">
        <f>C39+C40</f>
        <v>22750.406780000001</v>
      </c>
      <c r="D52" s="241">
        <f>D39+D40</f>
        <v>22342.56235</v>
      </c>
      <c r="E52" s="5">
        <f t="shared" si="0"/>
        <v>98.207309284867208</v>
      </c>
      <c r="F52" s="5">
        <f t="shared" si="1"/>
        <v>-407.84443000000101</v>
      </c>
      <c r="G52" s="93"/>
    </row>
    <row r="53" spans="1:7" s="6" customFormat="1" x14ac:dyDescent="0.25">
      <c r="A53" s="3"/>
      <c r="B53" s="21" t="s">
        <v>300</v>
      </c>
      <c r="C53" s="92">
        <f>C52-C103</f>
        <v>-753.31070999999793</v>
      </c>
      <c r="D53" s="92">
        <f>D52-D103</f>
        <v>20.698469999999361</v>
      </c>
      <c r="E53" s="22"/>
      <c r="F53" s="22"/>
    </row>
    <row r="54" spans="1:7" x14ac:dyDescent="0.25">
      <c r="A54" s="23"/>
      <c r="B54" s="24"/>
      <c r="C54" s="179"/>
      <c r="D54" s="179"/>
      <c r="E54" s="26"/>
      <c r="F54" s="91"/>
    </row>
    <row r="55" spans="1:7" ht="42.75" customHeight="1" x14ac:dyDescent="0.25">
      <c r="A55" s="28" t="s">
        <v>0</v>
      </c>
      <c r="B55" s="28" t="s">
        <v>26</v>
      </c>
      <c r="C55" s="72" t="s">
        <v>394</v>
      </c>
      <c r="D55" s="399" t="s">
        <v>409</v>
      </c>
      <c r="E55" s="72" t="s">
        <v>2</v>
      </c>
      <c r="F55" s="73" t="s">
        <v>3</v>
      </c>
    </row>
    <row r="56" spans="1:7" x14ac:dyDescent="0.25">
      <c r="A56" s="88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7" s="6" customFormat="1" ht="29.25" customHeight="1" x14ac:dyDescent="0.25">
      <c r="A57" s="30" t="s">
        <v>27</v>
      </c>
      <c r="B57" s="31" t="s">
        <v>28</v>
      </c>
      <c r="C57" s="176">
        <f>C58+C59+C60+C61+C62+C64+C63</f>
        <v>2831.9647500000001</v>
      </c>
      <c r="D57" s="32">
        <f>D58+D59+D60+D61+D62+D64+D63</f>
        <v>2787.7168799999999</v>
      </c>
      <c r="E57" s="34">
        <f>SUM(D57/C57*100)</f>
        <v>98.437555764068037</v>
      </c>
      <c r="F57" s="34">
        <f>SUM(D57-C57)</f>
        <v>-44.247870000000148</v>
      </c>
    </row>
    <row r="58" spans="1:7" s="6" customFormat="1" ht="31.5" hidden="1" x14ac:dyDescent="0.25">
      <c r="A58" s="35" t="s">
        <v>29</v>
      </c>
      <c r="B58" s="36" t="s">
        <v>30</v>
      </c>
      <c r="C58" s="37"/>
      <c r="D58" s="37"/>
      <c r="E58" s="38"/>
      <c r="F58" s="38"/>
    </row>
    <row r="59" spans="1:7" x14ac:dyDescent="0.25">
      <c r="A59" s="35" t="s">
        <v>31</v>
      </c>
      <c r="B59" s="39" t="s">
        <v>32</v>
      </c>
      <c r="C59" s="37">
        <v>2660.6980800000001</v>
      </c>
      <c r="D59" s="37">
        <v>2617.45021</v>
      </c>
      <c r="E59" s="38">
        <f t="shared" ref="E59:E103" si="3">SUM(D59/C59*100)</f>
        <v>98.374566797898382</v>
      </c>
      <c r="F59" s="38">
        <f t="shared" ref="F59:F103" si="4">SUM(D59-C59)</f>
        <v>-43.247870000000148</v>
      </c>
    </row>
    <row r="60" spans="1:7" ht="0.75" hidden="1" customHeight="1" x14ac:dyDescent="0.25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 x14ac:dyDescent="0.25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x14ac:dyDescent="0.25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 x14ac:dyDescent="0.25">
      <c r="A63" s="35" t="s">
        <v>39</v>
      </c>
      <c r="B63" s="39" t="s">
        <v>40</v>
      </c>
      <c r="C63" s="40">
        <v>1</v>
      </c>
      <c r="D63" s="40">
        <v>0</v>
      </c>
      <c r="E63" s="38">
        <f>SUM(D63/C63*100)</f>
        <v>0</v>
      </c>
      <c r="F63" s="38">
        <f t="shared" si="4"/>
        <v>-1</v>
      </c>
    </row>
    <row r="64" spans="1:7" ht="18" customHeight="1" x14ac:dyDescent="0.25">
      <c r="A64" s="35" t="s">
        <v>41</v>
      </c>
      <c r="B64" s="39" t="s">
        <v>42</v>
      </c>
      <c r="C64" s="37">
        <v>170.26667</v>
      </c>
      <c r="D64" s="37">
        <v>170.26667</v>
      </c>
      <c r="E64" s="38">
        <f t="shared" si="3"/>
        <v>100</v>
      </c>
      <c r="F64" s="38">
        <f t="shared" si="4"/>
        <v>0</v>
      </c>
    </row>
    <row r="65" spans="1:7" s="6" customFormat="1" x14ac:dyDescent="0.25">
      <c r="A65" s="41" t="s">
        <v>43</v>
      </c>
      <c r="B65" s="42" t="s">
        <v>44</v>
      </c>
      <c r="C65" s="32">
        <f>C66</f>
        <v>100.99429000000001</v>
      </c>
      <c r="D65" s="32">
        <f>D66</f>
        <v>100.99429000000001</v>
      </c>
      <c r="E65" s="34">
        <f t="shared" si="3"/>
        <v>100</v>
      </c>
      <c r="F65" s="34">
        <f t="shared" si="4"/>
        <v>0</v>
      </c>
    </row>
    <row r="66" spans="1:7" x14ac:dyDescent="0.25">
      <c r="A66" s="43" t="s">
        <v>45</v>
      </c>
      <c r="B66" s="44" t="s">
        <v>46</v>
      </c>
      <c r="C66" s="37">
        <v>100.99429000000001</v>
      </c>
      <c r="D66" s="37">
        <v>100.99429000000001</v>
      </c>
      <c r="E66" s="38">
        <f t="shared" si="3"/>
        <v>100</v>
      </c>
      <c r="F66" s="38">
        <f t="shared" si="4"/>
        <v>0</v>
      </c>
    </row>
    <row r="67" spans="1:7" s="6" customFormat="1" ht="15" customHeight="1" x14ac:dyDescent="0.25">
      <c r="A67" s="30" t="s">
        <v>47</v>
      </c>
      <c r="B67" s="31" t="s">
        <v>48</v>
      </c>
      <c r="C67" s="32">
        <f>C70+C71+C72</f>
        <v>10.5</v>
      </c>
      <c r="D67" s="32">
        <f>D70+D71+D72</f>
        <v>8</v>
      </c>
      <c r="E67" s="34">
        <f t="shared" si="3"/>
        <v>76.19047619047619</v>
      </c>
      <c r="F67" s="34">
        <f t="shared" si="4"/>
        <v>-2.5</v>
      </c>
    </row>
    <row r="68" spans="1:7" hidden="1" x14ac:dyDescent="0.25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 x14ac:dyDescent="0.25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 x14ac:dyDescent="0.25">
      <c r="A70" s="46" t="s">
        <v>53</v>
      </c>
      <c r="B70" s="47" t="s">
        <v>54</v>
      </c>
      <c r="C70" s="95">
        <v>0</v>
      </c>
      <c r="D70" s="37">
        <v>0</v>
      </c>
      <c r="E70" s="34" t="e">
        <f t="shared" si="3"/>
        <v>#DIV/0!</v>
      </c>
      <c r="F70" s="34">
        <f t="shared" si="4"/>
        <v>0</v>
      </c>
    </row>
    <row r="71" spans="1:7" ht="15.75" customHeight="1" x14ac:dyDescent="0.25">
      <c r="A71" s="46" t="s">
        <v>210</v>
      </c>
      <c r="B71" s="47" t="s">
        <v>211</v>
      </c>
      <c r="C71" s="37">
        <v>8.5</v>
      </c>
      <c r="D71" s="37">
        <v>6</v>
      </c>
      <c r="E71" s="34">
        <f t="shared" si="3"/>
        <v>70.588235294117652</v>
      </c>
      <c r="F71" s="34">
        <f t="shared" si="4"/>
        <v>-2.5</v>
      </c>
    </row>
    <row r="72" spans="1:7" ht="15.75" customHeight="1" x14ac:dyDescent="0.25">
      <c r="A72" s="46" t="s">
        <v>330</v>
      </c>
      <c r="B72" s="47" t="s">
        <v>386</v>
      </c>
      <c r="C72" s="37">
        <v>2</v>
      </c>
      <c r="D72" s="37">
        <v>2</v>
      </c>
      <c r="E72" s="34"/>
      <c r="F72" s="34"/>
    </row>
    <row r="73" spans="1:7" s="6" customFormat="1" ht="17.25" customHeight="1" x14ac:dyDescent="0.25">
      <c r="A73" s="30" t="s">
        <v>55</v>
      </c>
      <c r="B73" s="31" t="s">
        <v>56</v>
      </c>
      <c r="C73" s="48">
        <f>SUM(C74:C77)</f>
        <v>4577.6575700000003</v>
      </c>
      <c r="D73" s="48">
        <f>SUM(D74:D77)</f>
        <v>4574.0727299999999</v>
      </c>
      <c r="E73" s="34">
        <f t="shared" si="3"/>
        <v>99.92168833196493</v>
      </c>
      <c r="F73" s="34">
        <f t="shared" si="4"/>
        <v>-3.5848400000004403</v>
      </c>
    </row>
    <row r="74" spans="1:7" ht="15" hidden="1" customHeight="1" x14ac:dyDescent="0.25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5" hidden="1" customHeight="1" x14ac:dyDescent="0.25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 x14ac:dyDescent="0.25">
      <c r="A76" s="35" t="s">
        <v>61</v>
      </c>
      <c r="B76" s="39" t="s">
        <v>62</v>
      </c>
      <c r="C76" s="49">
        <v>4138.0205100000003</v>
      </c>
      <c r="D76" s="37">
        <v>4137.4356699999998</v>
      </c>
      <c r="E76" s="38">
        <f t="shared" si="3"/>
        <v>99.985866672275137</v>
      </c>
      <c r="F76" s="38">
        <f t="shared" si="4"/>
        <v>-0.58484000000044034</v>
      </c>
    </row>
    <row r="77" spans="1:7" x14ac:dyDescent="0.25">
      <c r="A77" s="35" t="s">
        <v>63</v>
      </c>
      <c r="B77" s="39" t="s">
        <v>64</v>
      </c>
      <c r="C77" s="49">
        <v>439.63706000000002</v>
      </c>
      <c r="D77" s="37">
        <v>436.63706000000002</v>
      </c>
      <c r="E77" s="38">
        <f t="shared" si="3"/>
        <v>99.31761894686494</v>
      </c>
      <c r="F77" s="38">
        <f t="shared" si="4"/>
        <v>-3</v>
      </c>
    </row>
    <row r="78" spans="1:7" s="6" customFormat="1" ht="17.25" customHeight="1" x14ac:dyDescent="0.25">
      <c r="A78" s="30" t="s">
        <v>65</v>
      </c>
      <c r="B78" s="31" t="s">
        <v>66</v>
      </c>
      <c r="C78" s="32">
        <f>SUM(C79:C82)</f>
        <v>14680.54888</v>
      </c>
      <c r="D78" s="32">
        <f>SUM(D79:D82)</f>
        <v>14467.794980000001</v>
      </c>
      <c r="E78" s="34">
        <f t="shared" si="3"/>
        <v>98.550776937980544</v>
      </c>
      <c r="F78" s="34">
        <f t="shared" si="4"/>
        <v>-212.7538999999997</v>
      </c>
    </row>
    <row r="79" spans="1:7" ht="15.75" hidden="1" customHeight="1" x14ac:dyDescent="0.25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7.25" customHeight="1" x14ac:dyDescent="0.25">
      <c r="A80" s="35" t="s">
        <v>69</v>
      </c>
      <c r="B80" s="51" t="s">
        <v>70</v>
      </c>
      <c r="C80" s="37">
        <v>12688.308580000001</v>
      </c>
      <c r="D80" s="37">
        <v>12475.70498</v>
      </c>
      <c r="E80" s="38">
        <f t="shared" si="3"/>
        <v>98.324413386862943</v>
      </c>
      <c r="F80" s="38">
        <f t="shared" si="4"/>
        <v>-212.60360000000037</v>
      </c>
    </row>
    <row r="81" spans="1:6" ht="18" customHeight="1" x14ac:dyDescent="0.25">
      <c r="A81" s="35" t="s">
        <v>71</v>
      </c>
      <c r="B81" s="39" t="s">
        <v>72</v>
      </c>
      <c r="C81" s="37">
        <v>1992.2402999999999</v>
      </c>
      <c r="D81" s="37">
        <v>1992.09</v>
      </c>
      <c r="E81" s="38">
        <f t="shared" si="3"/>
        <v>99.992455729361566</v>
      </c>
      <c r="F81" s="38">
        <f t="shared" si="4"/>
        <v>-0.15030000000001564</v>
      </c>
    </row>
    <row r="82" spans="1:6" hidden="1" x14ac:dyDescent="0.25">
      <c r="A82" s="35" t="s">
        <v>247</v>
      </c>
      <c r="B82" s="39" t="s">
        <v>248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ht="20.25" customHeight="1" x14ac:dyDescent="0.25">
      <c r="A83" s="30" t="s">
        <v>81</v>
      </c>
      <c r="B83" s="31" t="s">
        <v>82</v>
      </c>
      <c r="C83" s="32">
        <f>C84+C85</f>
        <v>1263.0519999999999</v>
      </c>
      <c r="D83" s="32">
        <f>D84+D85</f>
        <v>344.28500000000003</v>
      </c>
      <c r="E83" s="34">
        <f t="shared" si="3"/>
        <v>27.258180977505287</v>
      </c>
      <c r="F83" s="34">
        <f t="shared" si="4"/>
        <v>-918.76699999999983</v>
      </c>
    </row>
    <row r="84" spans="1:6" ht="18" customHeight="1" x14ac:dyDescent="0.25">
      <c r="A84" s="35" t="s">
        <v>83</v>
      </c>
      <c r="B84" s="39" t="s">
        <v>225</v>
      </c>
      <c r="C84" s="37">
        <v>1263.0519999999999</v>
      </c>
      <c r="D84" s="37">
        <v>344.28500000000003</v>
      </c>
      <c r="E84" s="38">
        <f t="shared" si="3"/>
        <v>27.258180977505287</v>
      </c>
      <c r="F84" s="38">
        <f t="shared" si="4"/>
        <v>-918.76699999999983</v>
      </c>
    </row>
    <row r="85" spans="1:6" hidden="1" x14ac:dyDescent="0.25">
      <c r="A85" s="35" t="s">
        <v>254</v>
      </c>
      <c r="B85" s="39" t="s">
        <v>255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s="6" customFormat="1" ht="21" customHeight="1" x14ac:dyDescent="0.25">
      <c r="A86" s="52">
        <v>1000</v>
      </c>
      <c r="B86" s="31" t="s">
        <v>84</v>
      </c>
      <c r="C86" s="32">
        <f>SUM(C87:C90)</f>
        <v>4</v>
      </c>
      <c r="D86" s="32">
        <f>SUM(D87:D90)</f>
        <v>4</v>
      </c>
      <c r="E86" s="38">
        <f t="shared" si="3"/>
        <v>100</v>
      </c>
      <c r="F86" s="38">
        <f t="shared" si="4"/>
        <v>0</v>
      </c>
    </row>
    <row r="87" spans="1:6" ht="22.5" hidden="1" customHeight="1" x14ac:dyDescent="0.25">
      <c r="A87" s="53">
        <v>1001</v>
      </c>
      <c r="B87" s="54" t="s">
        <v>85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20.25" customHeight="1" x14ac:dyDescent="0.25">
      <c r="A88" s="53">
        <v>1003</v>
      </c>
      <c r="B88" s="54" t="s">
        <v>86</v>
      </c>
      <c r="C88" s="37">
        <v>4</v>
      </c>
      <c r="D88" s="37">
        <v>4</v>
      </c>
      <c r="E88" s="38">
        <f t="shared" si="3"/>
        <v>100</v>
      </c>
      <c r="F88" s="38">
        <f t="shared" si="4"/>
        <v>0</v>
      </c>
    </row>
    <row r="89" spans="1:6" ht="22.5" hidden="1" customHeight="1" x14ac:dyDescent="0.25">
      <c r="A89" s="53">
        <v>1004</v>
      </c>
      <c r="B89" s="54" t="s">
        <v>87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.5" customHeight="1" x14ac:dyDescent="0.25">
      <c r="A90" s="35" t="s">
        <v>88</v>
      </c>
      <c r="B90" s="39" t="s">
        <v>89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0.75" customHeight="1" x14ac:dyDescent="0.25">
      <c r="A91" s="52">
        <v>1000</v>
      </c>
      <c r="B91" s="31" t="s">
        <v>84</v>
      </c>
      <c r="C91" s="32">
        <f>SUM(C92)</f>
        <v>0</v>
      </c>
      <c r="D91" s="32">
        <f>SUM(D92)</f>
        <v>0</v>
      </c>
      <c r="E91" s="34" t="e">
        <f t="shared" si="3"/>
        <v>#DIV/0!</v>
      </c>
      <c r="F91" s="34">
        <f t="shared" si="4"/>
        <v>0</v>
      </c>
    </row>
    <row r="92" spans="1:6" ht="19.5" hidden="1" customHeight="1" x14ac:dyDescent="0.25">
      <c r="A92" s="53">
        <v>1006</v>
      </c>
      <c r="B92" s="54" t="s">
        <v>85</v>
      </c>
      <c r="C92" s="37">
        <v>0</v>
      </c>
      <c r="D92" s="37">
        <v>0</v>
      </c>
      <c r="E92" s="38" t="e">
        <f t="shared" si="3"/>
        <v>#DIV/0!</v>
      </c>
      <c r="F92" s="38">
        <f t="shared" si="4"/>
        <v>0</v>
      </c>
    </row>
    <row r="93" spans="1:6" ht="16.5" customHeight="1" x14ac:dyDescent="0.25">
      <c r="A93" s="53">
        <v>1100</v>
      </c>
      <c r="B93" s="56" t="s">
        <v>91</v>
      </c>
      <c r="C93" s="32">
        <f>C94+C95+C96+C97+C98</f>
        <v>35</v>
      </c>
      <c r="D93" s="32">
        <f>D94+D95+D96+D97+D98</f>
        <v>35</v>
      </c>
      <c r="E93" s="38">
        <f t="shared" si="3"/>
        <v>100</v>
      </c>
      <c r="F93" s="22">
        <f>F94+F95+F96+F97+F98</f>
        <v>0</v>
      </c>
    </row>
    <row r="94" spans="1:6" ht="18.75" customHeight="1" x14ac:dyDescent="0.25">
      <c r="A94" s="53">
        <v>1101</v>
      </c>
      <c r="B94" s="54" t="s">
        <v>93</v>
      </c>
      <c r="C94" s="37">
        <v>35</v>
      </c>
      <c r="D94" s="37">
        <v>35</v>
      </c>
      <c r="E94" s="38">
        <f t="shared" si="3"/>
        <v>100</v>
      </c>
      <c r="F94" s="38">
        <f>SUM(D94-C94)</f>
        <v>0</v>
      </c>
    </row>
    <row r="95" spans="1:6" ht="0.75" hidden="1" customHeight="1" x14ac:dyDescent="0.25">
      <c r="A95" s="35" t="s">
        <v>88</v>
      </c>
      <c r="B95" s="39" t="s">
        <v>89</v>
      </c>
      <c r="C95" s="37"/>
      <c r="D95" s="37"/>
      <c r="E95" s="38" t="e">
        <f t="shared" si="3"/>
        <v>#DIV/0!</v>
      </c>
      <c r="F95" s="38">
        <f>SUM(D95-C95)</f>
        <v>0</v>
      </c>
    </row>
    <row r="96" spans="1:6" ht="18" hidden="1" customHeight="1" x14ac:dyDescent="0.25">
      <c r="A96" s="35" t="s">
        <v>96</v>
      </c>
      <c r="B96" s="39" t="s">
        <v>97</v>
      </c>
      <c r="C96" s="37"/>
      <c r="D96" s="37"/>
      <c r="E96" s="38" t="e">
        <f t="shared" si="3"/>
        <v>#DIV/0!</v>
      </c>
      <c r="F96" s="38"/>
    </row>
    <row r="97" spans="1:6" ht="17.25" hidden="1" customHeight="1" x14ac:dyDescent="0.25">
      <c r="A97" s="35" t="s">
        <v>98</v>
      </c>
      <c r="B97" s="39" t="s">
        <v>99</v>
      </c>
      <c r="C97" s="37"/>
      <c r="D97" s="37"/>
      <c r="E97" s="38" t="e">
        <f t="shared" si="3"/>
        <v>#DIV/0!</v>
      </c>
      <c r="F97" s="38"/>
    </row>
    <row r="98" spans="1:6" ht="18" hidden="1" customHeight="1" x14ac:dyDescent="0.25">
      <c r="A98" s="35" t="s">
        <v>100</v>
      </c>
      <c r="B98" s="39" t="s">
        <v>101</v>
      </c>
      <c r="C98" s="37"/>
      <c r="D98" s="37"/>
      <c r="E98" s="38" t="e">
        <f t="shared" si="3"/>
        <v>#DIV/0!</v>
      </c>
      <c r="F98" s="38"/>
    </row>
    <row r="99" spans="1:6" s="6" customFormat="1" ht="57.75" hidden="1" customHeight="1" x14ac:dyDescent="0.25">
      <c r="A99" s="52">
        <v>1400</v>
      </c>
      <c r="B99" s="56" t="s">
        <v>109</v>
      </c>
      <c r="C99" s="48">
        <f>C100+C101+C102</f>
        <v>0</v>
      </c>
      <c r="D99" s="48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.5" hidden="1" customHeight="1" x14ac:dyDescent="0.25">
      <c r="A100" s="53">
        <v>1401</v>
      </c>
      <c r="B100" s="54" t="s">
        <v>110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ht="16.5" hidden="1" customHeight="1" x14ac:dyDescent="0.25">
      <c r="A101" s="53">
        <v>1402</v>
      </c>
      <c r="B101" s="54" t="s">
        <v>111</v>
      </c>
      <c r="C101" s="49"/>
      <c r="D101" s="37"/>
      <c r="E101" s="38" t="e">
        <f t="shared" si="3"/>
        <v>#DIV/0!</v>
      </c>
      <c r="F101" s="38">
        <f t="shared" si="4"/>
        <v>0</v>
      </c>
    </row>
    <row r="102" spans="1:6" ht="20.25" hidden="1" customHeight="1" x14ac:dyDescent="0.25">
      <c r="A102" s="53">
        <v>1403</v>
      </c>
      <c r="B102" s="54" t="s">
        <v>112</v>
      </c>
      <c r="C102" s="49"/>
      <c r="D102" s="37"/>
      <c r="E102" s="38" t="e">
        <f t="shared" si="3"/>
        <v>#DIV/0!</v>
      </c>
      <c r="F102" s="38">
        <f t="shared" si="4"/>
        <v>0</v>
      </c>
    </row>
    <row r="103" spans="1:6" s="6" customFormat="1" ht="14.25" customHeight="1" x14ac:dyDescent="0.25">
      <c r="A103" s="52"/>
      <c r="B103" s="57" t="s">
        <v>113</v>
      </c>
      <c r="C103" s="243">
        <f>C57+C65+C67+C73+C78+C83+C86+C93+C99+C91</f>
        <v>23503.717489999999</v>
      </c>
      <c r="D103" s="243">
        <f>D57+D65+D67+D73+D78+D83+D86+D93+D99+D91</f>
        <v>22321.863880000001</v>
      </c>
      <c r="E103" s="34">
        <f t="shared" si="3"/>
        <v>94.971631145146134</v>
      </c>
      <c r="F103" s="34">
        <f t="shared" si="4"/>
        <v>-1181.8536099999983</v>
      </c>
    </row>
    <row r="104" spans="1:6" x14ac:dyDescent="0.25">
      <c r="D104" s="175"/>
    </row>
    <row r="105" spans="1:6" s="65" customFormat="1" ht="12.75" x14ac:dyDescent="0.2">
      <c r="A105" s="63" t="s">
        <v>114</v>
      </c>
      <c r="B105" s="63"/>
      <c r="C105" s="117"/>
      <c r="D105" s="64"/>
    </row>
    <row r="106" spans="1:6" s="65" customFormat="1" ht="18.75" customHeight="1" x14ac:dyDescent="0.2">
      <c r="A106" s="66" t="s">
        <v>115</v>
      </c>
      <c r="B106" s="66"/>
      <c r="C106" s="65" t="s">
        <v>116</v>
      </c>
    </row>
    <row r="143" hidden="1" x14ac:dyDescent="0.25"/>
  </sheetData>
  <customSheetViews>
    <customSheetView guid="{4D5E6ACC-9055-4DE9-8C20-9052F3C35D19}" scale="70" showPageBreaks="1" hiddenRows="1" state="hidden" view="pageBreakPreview" topLeftCell="A31">
      <selection activeCell="D70" sqref="D70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5C539BE6-C8E0-453F-AB5E-9E58094195EA}" scale="70" showPageBreaks="1" hiddenRows="1" view="pageBreakPreview" topLeftCell="A34">
      <selection activeCell="D94" sqref="D94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4"/>
    </customSheetView>
    <customSheetView guid="{1A52382B-3765-4E8C-903F-6B8919B7242E}" scale="86" showPageBreaks="1" hiddenRows="1" view="pageBreakPreview" topLeftCell="A46">
      <selection activeCell="J91" sqref="J91"/>
      <pageMargins left="0.7" right="0.7" top="0.75" bottom="0.75" header="0.3" footer="0.3"/>
      <pageSetup paperSize="9" scale="52" orientation="portrait" r:id="rId5"/>
    </customSheetView>
    <customSheetView guid="{B31C8DB7-3E78-4144-A6B5-8DE36DE63F0E}" scale="86" showPageBreaks="1" hiddenRows="1" view="pageBreakPreview" topLeftCell="A4">
      <selection activeCell="D27" sqref="D27"/>
      <pageMargins left="0.7" right="0.7" top="0.75" bottom="0.75" header="0.3" footer="0.3"/>
      <pageSetup paperSize="9" scale="53" orientation="portrait" r:id="rId6"/>
    </customSheetView>
    <customSheetView guid="{5BFCA170-DEAE-4D2C-98A0-1E68B427AC01}" scale="86" showPageBreaks="1" hiddenRows="1" view="pageBreakPreview" topLeftCell="A7">
      <selection activeCell="C47" sqref="C47"/>
      <pageMargins left="0.7" right="0.7" top="0.75" bottom="0.75" header="0.3" footer="0.3"/>
      <pageSetup paperSize="9" scale="53" orientation="portrait" r:id="rId7"/>
    </customSheetView>
    <customSheetView guid="{B30CE22D-C12F-4E12-8BB9-3AAE0A6991CC}" scale="70" showPageBreaks="1" hiddenRows="1" view="pageBreakPreview" topLeftCell="A28">
      <selection activeCell="C94" sqref="C94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9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10"/>
    </customSheetView>
    <customSheetView guid="{F85EE840-0C31-454A-8951-832C2E9E0600}" scale="70" showPageBreaks="1" hiddenRows="1" state="hidden" view="pageBreakPreview" topLeftCell="A37">
      <selection activeCell="C69" sqref="C69"/>
      <pageMargins left="0.70866141732283472" right="0.70866141732283472" top="0.74803149606299213" bottom="0.74803149606299213" header="0.31496062992125984" footer="0.31496062992125984"/>
      <pageSetup paperSize="9" scale="58" orientation="portrait" r:id="rId11"/>
    </customSheetView>
    <customSheetView guid="{F1E84C44-1ACD-474A-BDE0-C7088DB6C590}" scale="70" showPageBreaks="1" hiddenRows="1" state="hidden" view="pageBreakPreview" topLeftCell="A31">
      <selection activeCell="D70" sqref="D70"/>
      <pageMargins left="0.70866141732283472" right="0.70866141732283472" top="0.74803149606299213" bottom="0.74803149606299213" header="0.31496062992125984" footer="0.31496062992125984"/>
      <pageSetup paperSize="9" scale="57" orientation="portrait" r:id="rId12"/>
    </customSheetView>
    <customSheetView guid="{61528DAC-5C4C-48F4-ADE2-8A724B05A086}" scale="70" showPageBreaks="1" hiddenRows="1" state="hidden" view="pageBreakPreview" topLeftCell="A31">
      <selection activeCell="D70" sqref="D70"/>
      <pageMargins left="0.70866141732283472" right="0.70866141732283472" top="0.74803149606299213" bottom="0.74803149606299213" header="0.31496062992125984" footer="0.31496062992125984"/>
      <pageSetup paperSize="9" scale="57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G143"/>
  <sheetViews>
    <sheetView view="pageBreakPreview" topLeftCell="A12" zoomScale="70" zoomScaleNormal="100" zoomScaleSheetLayoutView="70" workbookViewId="0">
      <selection activeCell="D29" sqref="D29"/>
    </sheetView>
  </sheetViews>
  <sheetFormatPr defaultRowHeight="15.75" x14ac:dyDescent="0.2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x14ac:dyDescent="0.25">
      <c r="A1" s="599" t="s">
        <v>419</v>
      </c>
      <c r="B1" s="599"/>
      <c r="C1" s="599"/>
      <c r="D1" s="599"/>
      <c r="E1" s="599"/>
      <c r="F1" s="599"/>
    </row>
    <row r="2" spans="1:6" x14ac:dyDescent="0.25">
      <c r="A2" s="599"/>
      <c r="B2" s="599"/>
      <c r="C2" s="599"/>
      <c r="D2" s="599"/>
      <c r="E2" s="599"/>
      <c r="F2" s="599"/>
    </row>
    <row r="3" spans="1:6" ht="66.75" customHeight="1" x14ac:dyDescent="0.25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 x14ac:dyDescent="0.25">
      <c r="A4" s="3"/>
      <c r="B4" s="4" t="s">
        <v>4</v>
      </c>
      <c r="C4" s="5">
        <f>C5+C12+C14+C17+C7</f>
        <v>2301.8199999999997</v>
      </c>
      <c r="D4" s="5">
        <f>D5+D12+D14+D17+D7</f>
        <v>2570.5387599999999</v>
      </c>
      <c r="E4" s="5">
        <f>SUM(D4/C4*100)</f>
        <v>111.6741865132808</v>
      </c>
      <c r="F4" s="5">
        <f>SUM(D4-C4)</f>
        <v>268.7187600000002</v>
      </c>
    </row>
    <row r="5" spans="1:6" s="6" customFormat="1" x14ac:dyDescent="0.25">
      <c r="A5" s="68">
        <v>1010000000</v>
      </c>
      <c r="B5" s="67" t="s">
        <v>5</v>
      </c>
      <c r="C5" s="5">
        <f>C6</f>
        <v>273</v>
      </c>
      <c r="D5" s="5">
        <f>D6</f>
        <v>323.16827000000001</v>
      </c>
      <c r="E5" s="5">
        <f t="shared" ref="E5:E52" si="0">SUM(D5/C5*100)</f>
        <v>118.37665567765568</v>
      </c>
      <c r="F5" s="5">
        <f t="shared" ref="F5:F52" si="1">SUM(D5-C5)</f>
        <v>50.168270000000007</v>
      </c>
    </row>
    <row r="6" spans="1:6" x14ac:dyDescent="0.25">
      <c r="A6" s="7">
        <v>1010200001</v>
      </c>
      <c r="B6" s="8" t="s">
        <v>220</v>
      </c>
      <c r="C6" s="9">
        <v>273</v>
      </c>
      <c r="D6" s="10">
        <v>323.16827000000001</v>
      </c>
      <c r="E6" s="9">
        <f t="shared" ref="E6:E11" si="2">SUM(D6/C6*100)</f>
        <v>118.37665567765568</v>
      </c>
      <c r="F6" s="9">
        <f t="shared" si="1"/>
        <v>50.168270000000007</v>
      </c>
    </row>
    <row r="7" spans="1:6" ht="31.5" x14ac:dyDescent="0.25">
      <c r="A7" s="3">
        <v>1030000000</v>
      </c>
      <c r="B7" s="13" t="s">
        <v>259</v>
      </c>
      <c r="C7" s="5">
        <f>C8+C10+C9</f>
        <v>550.81999999999994</v>
      </c>
      <c r="D7" s="242">
        <f>D8+D9+D10+D11</f>
        <v>651.2116299999999</v>
      </c>
      <c r="E7" s="9">
        <f t="shared" si="2"/>
        <v>118.22585055008896</v>
      </c>
      <c r="F7" s="9">
        <f t="shared" si="1"/>
        <v>100.39162999999996</v>
      </c>
    </row>
    <row r="8" spans="1:6" x14ac:dyDescent="0.25">
      <c r="A8" s="7">
        <v>1030223001</v>
      </c>
      <c r="B8" s="8" t="s">
        <v>261</v>
      </c>
      <c r="C8" s="9">
        <v>205.45599999999999</v>
      </c>
      <c r="D8" s="10">
        <v>326.45697999999999</v>
      </c>
      <c r="E8" s="9">
        <f t="shared" si="2"/>
        <v>158.89386535316567</v>
      </c>
      <c r="F8" s="9">
        <f t="shared" si="1"/>
        <v>121.00098</v>
      </c>
    </row>
    <row r="9" spans="1:6" x14ac:dyDescent="0.25">
      <c r="A9" s="7">
        <v>1030224001</v>
      </c>
      <c r="B9" s="8" t="s">
        <v>267</v>
      </c>
      <c r="C9" s="9">
        <v>2.2029999999999998</v>
      </c>
      <c r="D9" s="10">
        <v>1.7633799999999999</v>
      </c>
      <c r="E9" s="9">
        <f t="shared" si="2"/>
        <v>80.044484793463468</v>
      </c>
      <c r="F9" s="9">
        <f t="shared" si="1"/>
        <v>-0.4396199999999999</v>
      </c>
    </row>
    <row r="10" spans="1:6" x14ac:dyDescent="0.25">
      <c r="A10" s="7">
        <v>1030225001</v>
      </c>
      <c r="B10" s="8" t="s">
        <v>260</v>
      </c>
      <c r="C10" s="9">
        <v>343.161</v>
      </c>
      <c r="D10" s="10">
        <v>360.44537000000003</v>
      </c>
      <c r="E10" s="9">
        <f t="shared" si="2"/>
        <v>105.03681070984175</v>
      </c>
      <c r="F10" s="9">
        <f t="shared" si="1"/>
        <v>17.284370000000024</v>
      </c>
    </row>
    <row r="11" spans="1:6" x14ac:dyDescent="0.25">
      <c r="A11" s="7">
        <v>1030265001</v>
      </c>
      <c r="B11" s="8" t="s">
        <v>269</v>
      </c>
      <c r="C11" s="9">
        <v>0</v>
      </c>
      <c r="D11" s="10">
        <v>-37.454099999999997</v>
      </c>
      <c r="E11" s="9" t="e">
        <f t="shared" si="2"/>
        <v>#DIV/0!</v>
      </c>
      <c r="F11" s="9">
        <f t="shared" si="1"/>
        <v>-37.454099999999997</v>
      </c>
    </row>
    <row r="12" spans="1:6" s="6" customFormat="1" x14ac:dyDescent="0.25">
      <c r="A12" s="68">
        <v>1050000000</v>
      </c>
      <c r="B12" s="67" t="s">
        <v>6</v>
      </c>
      <c r="C12" s="5">
        <f>SUM(C13:C13)</f>
        <v>10</v>
      </c>
      <c r="D12" s="5">
        <f>SUM(D13:D13)</f>
        <v>3.70086</v>
      </c>
      <c r="E12" s="5">
        <f t="shared" si="0"/>
        <v>37.008600000000001</v>
      </c>
      <c r="F12" s="5">
        <f t="shared" si="1"/>
        <v>-6.2991399999999995</v>
      </c>
    </row>
    <row r="13" spans="1:6" ht="15.75" customHeight="1" x14ac:dyDescent="0.25">
      <c r="A13" s="7">
        <v>1050300000</v>
      </c>
      <c r="B13" s="11" t="s">
        <v>221</v>
      </c>
      <c r="C13" s="12">
        <v>10</v>
      </c>
      <c r="D13" s="10">
        <v>3.70086</v>
      </c>
      <c r="E13" s="9">
        <f t="shared" si="0"/>
        <v>37.008600000000001</v>
      </c>
      <c r="F13" s="9">
        <f t="shared" si="1"/>
        <v>-6.2991399999999995</v>
      </c>
    </row>
    <row r="14" spans="1:6" s="6" customFormat="1" ht="15.75" customHeight="1" x14ac:dyDescent="0.25">
      <c r="A14" s="68">
        <v>1060000000</v>
      </c>
      <c r="B14" s="67" t="s">
        <v>129</v>
      </c>
      <c r="C14" s="5">
        <f>C15+C16</f>
        <v>1460</v>
      </c>
      <c r="D14" s="5">
        <f>D15+D16</f>
        <v>1587.6179999999999</v>
      </c>
      <c r="E14" s="5">
        <f t="shared" si="0"/>
        <v>108.74095890410958</v>
      </c>
      <c r="F14" s="5">
        <f t="shared" si="1"/>
        <v>127.61799999999994</v>
      </c>
    </row>
    <row r="15" spans="1:6" s="6" customFormat="1" ht="15.75" customHeight="1" x14ac:dyDescent="0.25">
      <c r="A15" s="7">
        <v>1060100000</v>
      </c>
      <c r="B15" s="11" t="s">
        <v>8</v>
      </c>
      <c r="C15" s="9">
        <v>360</v>
      </c>
      <c r="D15" s="10">
        <v>371.22931</v>
      </c>
      <c r="E15" s="9">
        <f t="shared" si="0"/>
        <v>103.11925277777777</v>
      </c>
      <c r="F15" s="9">
        <f>SUM(D15-C15)</f>
        <v>11.229309999999998</v>
      </c>
    </row>
    <row r="16" spans="1:6" ht="15.75" customHeight="1" x14ac:dyDescent="0.25">
      <c r="A16" s="7">
        <v>1060600000</v>
      </c>
      <c r="B16" s="11" t="s">
        <v>7</v>
      </c>
      <c r="C16" s="9">
        <v>1100</v>
      </c>
      <c r="D16" s="10">
        <v>1216.38869</v>
      </c>
      <c r="E16" s="9">
        <f t="shared" si="0"/>
        <v>110.58079000000001</v>
      </c>
      <c r="F16" s="9">
        <f t="shared" si="1"/>
        <v>116.38869</v>
      </c>
    </row>
    <row r="17" spans="1:6" s="6" customFormat="1" x14ac:dyDescent="0.25">
      <c r="A17" s="3">
        <v>1080000000</v>
      </c>
      <c r="B17" s="4" t="s">
        <v>10</v>
      </c>
      <c r="C17" s="5">
        <f>C18</f>
        <v>8</v>
      </c>
      <c r="D17" s="5">
        <f>D18</f>
        <v>4.84</v>
      </c>
      <c r="E17" s="5">
        <f t="shared" si="0"/>
        <v>60.5</v>
      </c>
      <c r="F17" s="5">
        <f t="shared" si="1"/>
        <v>-3.16</v>
      </c>
    </row>
    <row r="18" spans="1:6" ht="18" customHeight="1" x14ac:dyDescent="0.25">
      <c r="A18" s="7">
        <v>1080400001</v>
      </c>
      <c r="B18" s="8" t="s">
        <v>219</v>
      </c>
      <c r="C18" s="9">
        <v>8</v>
      </c>
      <c r="D18" s="9">
        <v>4.84</v>
      </c>
      <c r="E18" s="9">
        <f t="shared" si="0"/>
        <v>60.5</v>
      </c>
      <c r="F18" s="9">
        <f t="shared" si="1"/>
        <v>-3.16</v>
      </c>
    </row>
    <row r="19" spans="1:6" ht="47.25" hidden="1" customHeight="1" x14ac:dyDescent="0.25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 x14ac:dyDescent="0.25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 x14ac:dyDescent="0.25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 x14ac:dyDescent="0.25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 x14ac:dyDescent="0.25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 x14ac:dyDescent="0.25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 x14ac:dyDescent="0.25">
      <c r="A25" s="3"/>
      <c r="B25" s="4" t="s">
        <v>12</v>
      </c>
      <c r="C25" s="5">
        <f>C26+C30+C32+C37</f>
        <v>956.66285000000005</v>
      </c>
      <c r="D25" s="5">
        <f>D26+D30+D32+D37+D35</f>
        <v>1731.2947799999999</v>
      </c>
      <c r="E25" s="5">
        <f t="shared" si="0"/>
        <v>180.97230178845138</v>
      </c>
      <c r="F25" s="5">
        <f t="shared" si="1"/>
        <v>774.6319299999999</v>
      </c>
    </row>
    <row r="26" spans="1:6" s="6" customFormat="1" ht="30" customHeight="1" x14ac:dyDescent="0.25">
      <c r="A26" s="68">
        <v>1110000000</v>
      </c>
      <c r="B26" s="69" t="s">
        <v>122</v>
      </c>
      <c r="C26" s="5">
        <f>C27+C28</f>
        <v>130</v>
      </c>
      <c r="D26" s="224">
        <f>D27+D28+D29</f>
        <v>203.25954000000002</v>
      </c>
      <c r="E26" s="5">
        <f t="shared" si="0"/>
        <v>156.35349230769231</v>
      </c>
      <c r="F26" s="5">
        <f t="shared" si="1"/>
        <v>73.259540000000015</v>
      </c>
    </row>
    <row r="27" spans="1:6" ht="15.75" customHeight="1" x14ac:dyDescent="0.25">
      <c r="A27" s="16">
        <v>1110502510</v>
      </c>
      <c r="B27" s="17" t="s">
        <v>217</v>
      </c>
      <c r="C27" s="12">
        <v>100</v>
      </c>
      <c r="D27" s="12">
        <v>149.25879</v>
      </c>
      <c r="E27" s="9">
        <f t="shared" si="0"/>
        <v>149.25879</v>
      </c>
      <c r="F27" s="9">
        <f t="shared" si="1"/>
        <v>49.258790000000005</v>
      </c>
    </row>
    <row r="28" spans="1:6" ht="17.25" customHeight="1" x14ac:dyDescent="0.25">
      <c r="A28" s="7">
        <v>1110503510</v>
      </c>
      <c r="B28" s="11" t="s">
        <v>216</v>
      </c>
      <c r="C28" s="12">
        <v>30</v>
      </c>
      <c r="D28" s="10">
        <v>54.000749999999996</v>
      </c>
      <c r="E28" s="9">
        <f t="shared" si="0"/>
        <v>180.0025</v>
      </c>
      <c r="F28" s="9">
        <f t="shared" si="1"/>
        <v>24.000749999999996</v>
      </c>
    </row>
    <row r="29" spans="1:6" ht="33" customHeight="1" x14ac:dyDescent="0.25">
      <c r="A29" s="7">
        <v>1110532000</v>
      </c>
      <c r="B29" s="8" t="s">
        <v>407</v>
      </c>
      <c r="C29" s="12"/>
      <c r="D29" s="10">
        <v>0</v>
      </c>
      <c r="E29" s="9"/>
      <c r="F29" s="9"/>
    </row>
    <row r="30" spans="1:6" s="15" customFormat="1" ht="15" customHeight="1" x14ac:dyDescent="0.25">
      <c r="A30" s="68">
        <v>1130000000</v>
      </c>
      <c r="B30" s="69" t="s">
        <v>124</v>
      </c>
      <c r="C30" s="5">
        <f>C31</f>
        <v>50</v>
      </c>
      <c r="D30" s="5">
        <f>D31</f>
        <v>63.020650000000003</v>
      </c>
      <c r="E30" s="5">
        <f t="shared" si="0"/>
        <v>126.04130000000001</v>
      </c>
      <c r="F30" s="5">
        <f t="shared" si="1"/>
        <v>13.020650000000003</v>
      </c>
    </row>
    <row r="31" spans="1:6" ht="15.75" customHeight="1" x14ac:dyDescent="0.25">
      <c r="A31" s="7">
        <v>1130206005</v>
      </c>
      <c r="B31" s="8" t="s">
        <v>215</v>
      </c>
      <c r="C31" s="9">
        <v>50</v>
      </c>
      <c r="D31" s="10">
        <v>63.020650000000003</v>
      </c>
      <c r="E31" s="9">
        <f t="shared" si="0"/>
        <v>126.04130000000001</v>
      </c>
      <c r="F31" s="9">
        <f t="shared" si="1"/>
        <v>13.020650000000003</v>
      </c>
    </row>
    <row r="32" spans="1:6" ht="18.75" customHeight="1" x14ac:dyDescent="0.25">
      <c r="A32" s="70">
        <v>1140000000</v>
      </c>
      <c r="B32" s="71" t="s">
        <v>125</v>
      </c>
      <c r="C32" s="5">
        <f>C33+C34</f>
        <v>0</v>
      </c>
      <c r="D32" s="5">
        <f>D33+D34</f>
        <v>97.840500000000006</v>
      </c>
      <c r="E32" s="5" t="e">
        <f t="shared" si="0"/>
        <v>#DIV/0!</v>
      </c>
      <c r="F32" s="5">
        <f t="shared" si="1"/>
        <v>97.840500000000006</v>
      </c>
    </row>
    <row r="33" spans="1:7" ht="21.75" customHeight="1" x14ac:dyDescent="0.25">
      <c r="A33" s="16">
        <v>1140200000</v>
      </c>
      <c r="B33" s="18" t="s">
        <v>126</v>
      </c>
      <c r="C33" s="9"/>
      <c r="D33" s="10">
        <v>97.840500000000006</v>
      </c>
      <c r="E33" s="9" t="e">
        <f t="shared" si="0"/>
        <v>#DIV/0!</v>
      </c>
      <c r="F33" s="9">
        <f t="shared" si="1"/>
        <v>97.840500000000006</v>
      </c>
    </row>
    <row r="34" spans="1:7" ht="21.75" customHeight="1" x14ac:dyDescent="0.25">
      <c r="A34" s="7">
        <v>1140600000</v>
      </c>
      <c r="B34" s="8" t="s">
        <v>214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20.25" customHeight="1" x14ac:dyDescent="0.25">
      <c r="A35" s="7">
        <v>1169000000</v>
      </c>
      <c r="B35" s="13" t="s">
        <v>315</v>
      </c>
      <c r="C35" s="9">
        <v>0</v>
      </c>
      <c r="D35" s="10">
        <f>D36</f>
        <v>218.01411999999999</v>
      </c>
      <c r="E35" s="9" t="e">
        <f>SUM(D35/C35*100)</f>
        <v>#DIV/0!</v>
      </c>
      <c r="F35" s="9">
        <f>SUM(D35-C35)</f>
        <v>218.01411999999999</v>
      </c>
    </row>
    <row r="36" spans="1:7" ht="30.75" customHeight="1" x14ac:dyDescent="0.25">
      <c r="A36" s="7">
        <v>1160701010</v>
      </c>
      <c r="B36" s="8" t="s">
        <v>400</v>
      </c>
      <c r="C36" s="9">
        <v>0</v>
      </c>
      <c r="D36" s="10">
        <v>218.01411999999999</v>
      </c>
      <c r="E36" s="9" t="e">
        <f>SUM(D36/C36*100)</f>
        <v>#DIV/0!</v>
      </c>
      <c r="F36" s="9">
        <f>SUM(D36-C36)</f>
        <v>218.01411999999999</v>
      </c>
    </row>
    <row r="37" spans="1:7" ht="19.5" customHeight="1" x14ac:dyDescent="0.25">
      <c r="A37" s="3">
        <v>1170000000</v>
      </c>
      <c r="B37" s="13" t="s">
        <v>128</v>
      </c>
      <c r="C37" s="5">
        <f>C38+C39</f>
        <v>776.66285000000005</v>
      </c>
      <c r="D37" s="5">
        <f>D38+D39</f>
        <v>1149.1599699999999</v>
      </c>
      <c r="E37" s="5">
        <f t="shared" si="0"/>
        <v>147.9612382644541</v>
      </c>
      <c r="F37" s="5">
        <f t="shared" si="1"/>
        <v>372.49711999999988</v>
      </c>
    </row>
    <row r="38" spans="1:7" ht="15.75" customHeight="1" x14ac:dyDescent="0.25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.75" customHeight="1" x14ac:dyDescent="0.25">
      <c r="A39" s="7">
        <v>1171503010</v>
      </c>
      <c r="B39" s="11" t="s">
        <v>406</v>
      </c>
      <c r="C39" s="9">
        <v>776.66285000000005</v>
      </c>
      <c r="D39" s="10">
        <v>1149.1599699999999</v>
      </c>
      <c r="E39" s="9">
        <f t="shared" si="0"/>
        <v>147.9612382644541</v>
      </c>
      <c r="F39" s="9">
        <f t="shared" si="1"/>
        <v>372.49711999999988</v>
      </c>
    </row>
    <row r="40" spans="1:7" s="6" customFormat="1" ht="20.25" customHeight="1" x14ac:dyDescent="0.25">
      <c r="A40" s="3">
        <v>1000000000</v>
      </c>
      <c r="B40" s="4" t="s">
        <v>16</v>
      </c>
      <c r="C40" s="252">
        <f>SUM(C4,C25)</f>
        <v>3258.4828499999999</v>
      </c>
      <c r="D40" s="252">
        <f>SUM(D4,D25)</f>
        <v>4301.8335399999996</v>
      </c>
      <c r="E40" s="5">
        <f t="shared" si="0"/>
        <v>132.01952374860588</v>
      </c>
      <c r="F40" s="5">
        <f t="shared" si="1"/>
        <v>1043.3506899999998</v>
      </c>
    </row>
    <row r="41" spans="1:7" s="6" customFormat="1" x14ac:dyDescent="0.25">
      <c r="A41" s="3">
        <v>2000000000</v>
      </c>
      <c r="B41" s="4" t="s">
        <v>17</v>
      </c>
      <c r="C41" s="5">
        <f>C42+C44+C46+C47+C49+C50+C48+C43+C45</f>
        <v>11167.23504</v>
      </c>
      <c r="D41" s="224">
        <f>D42+D44+D46+D47+D49+D50+D43+D48</f>
        <v>10911.96184</v>
      </c>
      <c r="E41" s="5">
        <f t="shared" si="0"/>
        <v>97.714087694172875</v>
      </c>
      <c r="F41" s="5">
        <f t="shared" si="1"/>
        <v>-255.27319999999963</v>
      </c>
      <c r="G41" s="19"/>
    </row>
    <row r="42" spans="1:7" x14ac:dyDescent="0.25">
      <c r="A42" s="16">
        <v>2021000000</v>
      </c>
      <c r="B42" s="17" t="s">
        <v>18</v>
      </c>
      <c r="C42" s="98">
        <v>3478.3</v>
      </c>
      <c r="D42" s="20">
        <v>3478.3</v>
      </c>
      <c r="E42" s="9">
        <f t="shared" si="0"/>
        <v>100</v>
      </c>
      <c r="F42" s="9">
        <f t="shared" si="1"/>
        <v>0</v>
      </c>
    </row>
    <row r="43" spans="1:7" ht="17.25" hidden="1" customHeight="1" x14ac:dyDescent="0.25">
      <c r="A43" s="16">
        <v>2021500200</v>
      </c>
      <c r="B43" s="17" t="s">
        <v>223</v>
      </c>
      <c r="C43" s="12"/>
      <c r="D43" s="20">
        <v>0</v>
      </c>
      <c r="E43" s="9" t="e">
        <f>SUM(D43/C43*100)</f>
        <v>#DIV/0!</v>
      </c>
      <c r="F43" s="9">
        <f>SUM(D43-C43)</f>
        <v>0</v>
      </c>
    </row>
    <row r="44" spans="1:7" ht="19.5" customHeight="1" x14ac:dyDescent="0.25">
      <c r="A44" s="16">
        <v>2022000000</v>
      </c>
      <c r="B44" s="17" t="s">
        <v>19</v>
      </c>
      <c r="C44" s="12">
        <v>5605.0820800000001</v>
      </c>
      <c r="D44" s="10">
        <v>5434.8999400000002</v>
      </c>
      <c r="E44" s="9">
        <f t="shared" si="0"/>
        <v>96.963788619487985</v>
      </c>
      <c r="F44" s="9">
        <f t="shared" si="1"/>
        <v>-170.18213999999989</v>
      </c>
    </row>
    <row r="45" spans="1:7" hidden="1" x14ac:dyDescent="0.25">
      <c r="A45" s="16">
        <v>2022999910</v>
      </c>
      <c r="B45" s="18" t="s">
        <v>322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17.25" customHeight="1" x14ac:dyDescent="0.25">
      <c r="A46" s="16">
        <v>2023000000</v>
      </c>
      <c r="B46" s="17" t="s">
        <v>20</v>
      </c>
      <c r="C46" s="12">
        <v>278.29858999999999</v>
      </c>
      <c r="D46" s="180">
        <v>278.29858999999999</v>
      </c>
      <c r="E46" s="9">
        <f t="shared" si="0"/>
        <v>100</v>
      </c>
      <c r="F46" s="9">
        <f t="shared" si="1"/>
        <v>0</v>
      </c>
    </row>
    <row r="47" spans="1:7" ht="19.5" customHeight="1" x14ac:dyDescent="0.25">
      <c r="A47" s="16">
        <v>2020400000</v>
      </c>
      <c r="B47" s="17" t="s">
        <v>21</v>
      </c>
      <c r="C47" s="12">
        <v>1805.5543700000001</v>
      </c>
      <c r="D47" s="181">
        <v>1720.4633100000001</v>
      </c>
      <c r="E47" s="9">
        <f t="shared" si="0"/>
        <v>95.287261274774011</v>
      </c>
      <c r="F47" s="9">
        <f t="shared" si="1"/>
        <v>-85.09105999999997</v>
      </c>
    </row>
    <row r="48" spans="1:7" ht="20.25" customHeight="1" x14ac:dyDescent="0.25">
      <c r="A48" s="7">
        <v>2070500010</v>
      </c>
      <c r="B48" s="18" t="s">
        <v>276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7" ht="19.5" hidden="1" customHeight="1" x14ac:dyDescent="0.25">
      <c r="A49" s="16">
        <v>2020900000</v>
      </c>
      <c r="B49" s="18" t="s">
        <v>22</v>
      </c>
      <c r="C49" s="12"/>
      <c r="D49" s="181"/>
      <c r="E49" s="9" t="e">
        <f t="shared" si="0"/>
        <v>#DIV/0!</v>
      </c>
      <c r="F49" s="9">
        <f t="shared" si="1"/>
        <v>0</v>
      </c>
    </row>
    <row r="50" spans="1:7" ht="0.75" hidden="1" customHeight="1" x14ac:dyDescent="0.25">
      <c r="A50" s="7">
        <v>2190500005</v>
      </c>
      <c r="B50" s="11" t="s">
        <v>23</v>
      </c>
      <c r="C50" s="14"/>
      <c r="D50" s="14"/>
      <c r="E50" s="5"/>
      <c r="F50" s="5">
        <f>SUM(D50-C50)</f>
        <v>0</v>
      </c>
    </row>
    <row r="51" spans="1:7" s="6" customFormat="1" ht="3" hidden="1" customHeight="1" x14ac:dyDescent="0.25">
      <c r="A51" s="3">
        <v>3000000000</v>
      </c>
      <c r="B51" s="13" t="s">
        <v>24</v>
      </c>
      <c r="C51" s="120">
        <v>0</v>
      </c>
      <c r="D51" s="14">
        <v>0</v>
      </c>
      <c r="E51" s="5" t="e">
        <f t="shared" si="0"/>
        <v>#DIV/0!</v>
      </c>
      <c r="F51" s="5">
        <f t="shared" si="1"/>
        <v>0</v>
      </c>
    </row>
    <row r="52" spans="1:7" s="6" customFormat="1" ht="17.25" customHeight="1" x14ac:dyDescent="0.25">
      <c r="A52" s="3"/>
      <c r="B52" s="4" t="s">
        <v>25</v>
      </c>
      <c r="C52" s="240">
        <f>C40+C41</f>
        <v>14425.71789</v>
      </c>
      <c r="D52" s="241">
        <f>D40+D41</f>
        <v>15213.79538</v>
      </c>
      <c r="E52" s="5">
        <f t="shared" si="0"/>
        <v>105.46300361624499</v>
      </c>
      <c r="F52" s="5">
        <f t="shared" si="1"/>
        <v>788.07748999999967</v>
      </c>
      <c r="G52" s="193"/>
    </row>
    <row r="53" spans="1:7" s="6" customFormat="1" x14ac:dyDescent="0.25">
      <c r="A53" s="3"/>
      <c r="B53" s="21" t="s">
        <v>299</v>
      </c>
      <c r="C53" s="92">
        <f>C52-C100</f>
        <v>-310.18125999999938</v>
      </c>
      <c r="D53" s="92">
        <f>D52-D100</f>
        <v>1636.5421000000006</v>
      </c>
      <c r="E53" s="22"/>
      <c r="F53" s="22"/>
    </row>
    <row r="54" spans="1:7" ht="23.25" customHeight="1" x14ac:dyDescent="0.25">
      <c r="A54" s="23"/>
      <c r="B54" s="24"/>
      <c r="C54" s="173"/>
      <c r="D54" s="173"/>
      <c r="E54" s="130"/>
      <c r="F54" s="91"/>
    </row>
    <row r="55" spans="1:7" ht="65.25" customHeight="1" x14ac:dyDescent="0.25">
      <c r="A55" s="28" t="s">
        <v>0</v>
      </c>
      <c r="B55" s="28" t="s">
        <v>26</v>
      </c>
      <c r="C55" s="72" t="s">
        <v>394</v>
      </c>
      <c r="D55" s="399" t="s">
        <v>409</v>
      </c>
      <c r="E55" s="72" t="s">
        <v>2</v>
      </c>
      <c r="F55" s="73" t="s">
        <v>3</v>
      </c>
    </row>
    <row r="56" spans="1:7" ht="19.5" customHeight="1" x14ac:dyDescent="0.25">
      <c r="A56" s="29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7" s="6" customFormat="1" x14ac:dyDescent="0.25">
      <c r="A57" s="30" t="s">
        <v>27</v>
      </c>
      <c r="B57" s="31" t="s">
        <v>28</v>
      </c>
      <c r="C57" s="32">
        <f>C58+C59+C60+C61+C62+C64+C63</f>
        <v>1880.068</v>
      </c>
      <c r="D57" s="33">
        <f>D58+D59+D60+D61+D62+D64+D63</f>
        <v>1734.7407799999999</v>
      </c>
      <c r="E57" s="34">
        <f>SUM(D57/C57*100)</f>
        <v>92.270108315231141</v>
      </c>
      <c r="F57" s="34">
        <f>SUM(D57-C57)</f>
        <v>-145.32722000000012</v>
      </c>
    </row>
    <row r="58" spans="1:7" s="6" customFormat="1" ht="0.75" hidden="1" customHeight="1" x14ac:dyDescent="0.25">
      <c r="A58" s="35" t="s">
        <v>29</v>
      </c>
      <c r="B58" s="36" t="s">
        <v>30</v>
      </c>
      <c r="C58" s="37"/>
      <c r="D58" s="37"/>
      <c r="E58" s="38"/>
      <c r="F58" s="38"/>
    </row>
    <row r="59" spans="1:7" ht="18" customHeight="1" x14ac:dyDescent="0.25">
      <c r="A59" s="35" t="s">
        <v>31</v>
      </c>
      <c r="B59" s="39" t="s">
        <v>32</v>
      </c>
      <c r="C59" s="37">
        <v>1853.566</v>
      </c>
      <c r="D59" s="37">
        <v>1718.2387799999999</v>
      </c>
      <c r="E59" s="38">
        <f t="shared" ref="E59:E100" si="3">SUM(D59/C59*100)</f>
        <v>92.699088136057725</v>
      </c>
      <c r="F59" s="38">
        <f t="shared" ref="F59:F100" si="4">SUM(D59-C59)</f>
        <v>-135.32722000000012</v>
      </c>
    </row>
    <row r="60" spans="1:7" ht="16.5" hidden="1" customHeight="1" x14ac:dyDescent="0.25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 x14ac:dyDescent="0.25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5.75" customHeight="1" x14ac:dyDescent="0.25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 x14ac:dyDescent="0.25">
      <c r="A63" s="35" t="s">
        <v>39</v>
      </c>
      <c r="B63" s="39" t="s">
        <v>40</v>
      </c>
      <c r="C63" s="40">
        <v>10</v>
      </c>
      <c r="D63" s="40">
        <v>0</v>
      </c>
      <c r="E63" s="38">
        <f t="shared" si="3"/>
        <v>0</v>
      </c>
      <c r="F63" s="38">
        <f t="shared" si="4"/>
        <v>-10</v>
      </c>
    </row>
    <row r="64" spans="1:7" ht="18" customHeight="1" x14ac:dyDescent="0.25">
      <c r="A64" s="35" t="s">
        <v>41</v>
      </c>
      <c r="B64" s="39" t="s">
        <v>42</v>
      </c>
      <c r="C64" s="37">
        <v>16.501999999999999</v>
      </c>
      <c r="D64" s="37">
        <v>16.501999999999999</v>
      </c>
      <c r="E64" s="38">
        <f t="shared" si="3"/>
        <v>100</v>
      </c>
      <c r="F64" s="38">
        <f t="shared" si="4"/>
        <v>0</v>
      </c>
    </row>
    <row r="65" spans="1:7" s="6" customFormat="1" x14ac:dyDescent="0.25">
      <c r="A65" s="41" t="s">
        <v>43</v>
      </c>
      <c r="B65" s="42" t="s">
        <v>44</v>
      </c>
      <c r="C65" s="32">
        <f>C66</f>
        <v>264.00599</v>
      </c>
      <c r="D65" s="32">
        <f>D66</f>
        <v>264.00599</v>
      </c>
      <c r="E65" s="34">
        <f t="shared" si="3"/>
        <v>100</v>
      </c>
      <c r="F65" s="34">
        <f t="shared" si="4"/>
        <v>0</v>
      </c>
    </row>
    <row r="66" spans="1:7" x14ac:dyDescent="0.25">
      <c r="A66" s="43" t="s">
        <v>45</v>
      </c>
      <c r="B66" s="44" t="s">
        <v>46</v>
      </c>
      <c r="C66" s="37">
        <v>264.00599</v>
      </c>
      <c r="D66" s="37">
        <v>264.00599</v>
      </c>
      <c r="E66" s="38">
        <f t="shared" si="3"/>
        <v>100</v>
      </c>
      <c r="F66" s="38">
        <f t="shared" si="4"/>
        <v>0</v>
      </c>
    </row>
    <row r="67" spans="1:7" s="6" customFormat="1" ht="18.75" customHeight="1" x14ac:dyDescent="0.25">
      <c r="A67" s="30" t="s">
        <v>47</v>
      </c>
      <c r="B67" s="31" t="s">
        <v>48</v>
      </c>
      <c r="C67" s="32">
        <f>C71+C70+C69+C68+C72</f>
        <v>18.5</v>
      </c>
      <c r="D67" s="32">
        <f>SUM(D70+D71+D72)</f>
        <v>11.561340000000001</v>
      </c>
      <c r="E67" s="34">
        <f t="shared" si="3"/>
        <v>62.493729729729743</v>
      </c>
      <c r="F67" s="34">
        <f t="shared" si="4"/>
        <v>-6.9386599999999987</v>
      </c>
    </row>
    <row r="68" spans="1:7" hidden="1" x14ac:dyDescent="0.25">
      <c r="A68" s="35" t="s">
        <v>49</v>
      </c>
      <c r="B68" s="39" t="s">
        <v>50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idden="1" x14ac:dyDescent="0.25">
      <c r="A69" s="45" t="s">
        <v>51</v>
      </c>
      <c r="B69" s="39" t="s">
        <v>52</v>
      </c>
      <c r="C69" s="37"/>
      <c r="D69" s="37"/>
      <c r="E69" s="38" t="e">
        <f t="shared" si="3"/>
        <v>#DIV/0!</v>
      </c>
      <c r="F69" s="38">
        <f t="shared" si="4"/>
        <v>0</v>
      </c>
    </row>
    <row r="70" spans="1:7" ht="15.75" customHeight="1" x14ac:dyDescent="0.25">
      <c r="A70" s="46" t="s">
        <v>53</v>
      </c>
      <c r="B70" s="47" t="s">
        <v>54</v>
      </c>
      <c r="C70" s="37">
        <v>3</v>
      </c>
      <c r="D70" s="37">
        <v>2.83134</v>
      </c>
      <c r="E70" s="38">
        <f t="shared" si="3"/>
        <v>94.378</v>
      </c>
      <c r="F70" s="38">
        <f t="shared" si="4"/>
        <v>-0.16866000000000003</v>
      </c>
    </row>
    <row r="71" spans="1:7" ht="15.75" customHeight="1" x14ac:dyDescent="0.25">
      <c r="A71" s="46" t="s">
        <v>210</v>
      </c>
      <c r="B71" s="47" t="s">
        <v>211</v>
      </c>
      <c r="C71" s="37">
        <v>13.5</v>
      </c>
      <c r="D71" s="37">
        <v>6.73</v>
      </c>
      <c r="E71" s="38">
        <f>SUM(D71/C71*100)</f>
        <v>49.851851851851855</v>
      </c>
      <c r="F71" s="38">
        <f>SUM(D71-C71)</f>
        <v>-6.77</v>
      </c>
    </row>
    <row r="72" spans="1:7" ht="15.75" customHeight="1" x14ac:dyDescent="0.25">
      <c r="A72" s="46" t="s">
        <v>330</v>
      </c>
      <c r="B72" s="47" t="s">
        <v>385</v>
      </c>
      <c r="C72" s="37">
        <v>2</v>
      </c>
      <c r="D72" s="37">
        <v>2</v>
      </c>
      <c r="E72" s="38"/>
      <c r="F72" s="38"/>
    </row>
    <row r="73" spans="1:7" s="6" customFormat="1" x14ac:dyDescent="0.25">
      <c r="A73" s="30" t="s">
        <v>55</v>
      </c>
      <c r="B73" s="31" t="s">
        <v>56</v>
      </c>
      <c r="C73" s="48">
        <f>SUM(C74:C77)</f>
        <v>7933.1311699999997</v>
      </c>
      <c r="D73" s="48">
        <f>SUM(D74:D77)</f>
        <v>7505.4548999999997</v>
      </c>
      <c r="E73" s="34">
        <f t="shared" si="3"/>
        <v>94.608985269053605</v>
      </c>
      <c r="F73" s="34">
        <f t="shared" si="4"/>
        <v>-427.67626999999993</v>
      </c>
    </row>
    <row r="74" spans="1:7" ht="20.25" customHeight="1" x14ac:dyDescent="0.25">
      <c r="A74" s="35" t="s">
        <v>57</v>
      </c>
      <c r="B74" s="39" t="s">
        <v>58</v>
      </c>
      <c r="C74" s="49">
        <v>14.2926</v>
      </c>
      <c r="D74" s="37">
        <v>14.2926</v>
      </c>
      <c r="E74" s="38">
        <f t="shared" si="3"/>
        <v>100</v>
      </c>
      <c r="F74" s="38">
        <f t="shared" si="4"/>
        <v>0</v>
      </c>
    </row>
    <row r="75" spans="1:7" s="6" customFormat="1" ht="21" hidden="1" customHeight="1" x14ac:dyDescent="0.25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 x14ac:dyDescent="0.25">
      <c r="A76" s="35" t="s">
        <v>61</v>
      </c>
      <c r="B76" s="39" t="s">
        <v>62</v>
      </c>
      <c r="C76" s="49">
        <v>7731.5635700000003</v>
      </c>
      <c r="D76" s="37">
        <v>7431.6623</v>
      </c>
      <c r="E76" s="38">
        <f t="shared" si="3"/>
        <v>96.121078650071809</v>
      </c>
      <c r="F76" s="38">
        <f t="shared" si="4"/>
        <v>-299.9012700000003</v>
      </c>
    </row>
    <row r="77" spans="1:7" x14ac:dyDescent="0.25">
      <c r="A77" s="35" t="s">
        <v>63</v>
      </c>
      <c r="B77" s="39" t="s">
        <v>64</v>
      </c>
      <c r="C77" s="49">
        <v>187.27500000000001</v>
      </c>
      <c r="D77" s="37">
        <v>59.5</v>
      </c>
      <c r="E77" s="38">
        <f t="shared" si="3"/>
        <v>31.771459084234415</v>
      </c>
      <c r="F77" s="38">
        <f t="shared" si="4"/>
        <v>-127.77500000000001</v>
      </c>
    </row>
    <row r="78" spans="1:7" s="6" customFormat="1" ht="18" customHeight="1" x14ac:dyDescent="0.25">
      <c r="A78" s="30" t="s">
        <v>65</v>
      </c>
      <c r="B78" s="31" t="s">
        <v>66</v>
      </c>
      <c r="C78" s="32">
        <f>SUM(C79:C82)</f>
        <v>2777.0939900000003</v>
      </c>
      <c r="D78" s="32">
        <f>SUM(D79:D82)</f>
        <v>2203.6188700000002</v>
      </c>
      <c r="E78" s="34">
        <f t="shared" si="3"/>
        <v>79.349812355468757</v>
      </c>
      <c r="F78" s="34">
        <f t="shared" si="4"/>
        <v>-573.47512000000006</v>
      </c>
    </row>
    <row r="79" spans="1:7" hidden="1" x14ac:dyDescent="0.25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.75" customHeight="1" x14ac:dyDescent="0.25">
      <c r="A80" s="35" t="s">
        <v>69</v>
      </c>
      <c r="B80" s="51" t="s">
        <v>70</v>
      </c>
      <c r="C80" s="37">
        <v>1404.96199</v>
      </c>
      <c r="D80" s="37">
        <v>1130.10887</v>
      </c>
      <c r="E80" s="38">
        <f t="shared" si="3"/>
        <v>80.436971109802059</v>
      </c>
      <c r="F80" s="38">
        <f t="shared" si="4"/>
        <v>-274.85311999999999</v>
      </c>
    </row>
    <row r="81" spans="1:6" ht="16.5" customHeight="1" x14ac:dyDescent="0.25">
      <c r="A81" s="35" t="s">
        <v>71</v>
      </c>
      <c r="B81" s="39" t="s">
        <v>72</v>
      </c>
      <c r="C81" s="37">
        <v>1372.1320000000001</v>
      </c>
      <c r="D81" s="37">
        <v>1073.51</v>
      </c>
      <c r="E81" s="38">
        <f t="shared" si="3"/>
        <v>78.236641955730207</v>
      </c>
      <c r="F81" s="38">
        <f t="shared" si="4"/>
        <v>-298.62200000000007</v>
      </c>
    </row>
    <row r="82" spans="1:6" ht="31.5" hidden="1" x14ac:dyDescent="0.25">
      <c r="A82" s="35" t="s">
        <v>247</v>
      </c>
      <c r="B82" s="39" t="s">
        <v>257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x14ac:dyDescent="0.25">
      <c r="A83" s="30" t="s">
        <v>81</v>
      </c>
      <c r="B83" s="31" t="s">
        <v>82</v>
      </c>
      <c r="C83" s="32">
        <f>C84</f>
        <v>1819.1</v>
      </c>
      <c r="D83" s="32">
        <f>SUM(D84)</f>
        <v>1813.8714</v>
      </c>
      <c r="E83" s="34">
        <f t="shared" si="3"/>
        <v>99.712572151063711</v>
      </c>
      <c r="F83" s="34">
        <f t="shared" si="4"/>
        <v>-5.2285999999999149</v>
      </c>
    </row>
    <row r="84" spans="1:6" ht="16.5" customHeight="1" x14ac:dyDescent="0.25">
      <c r="A84" s="35" t="s">
        <v>83</v>
      </c>
      <c r="B84" s="39" t="s">
        <v>225</v>
      </c>
      <c r="C84" s="37">
        <v>1819.1</v>
      </c>
      <c r="D84" s="37">
        <v>1813.8714</v>
      </c>
      <c r="E84" s="38">
        <f t="shared" si="3"/>
        <v>99.712572151063711</v>
      </c>
      <c r="F84" s="38">
        <f t="shared" si="4"/>
        <v>-5.2285999999999149</v>
      </c>
    </row>
    <row r="85" spans="1:6" s="6" customFormat="1" ht="18" hidden="1" customHeight="1" x14ac:dyDescent="0.25">
      <c r="A85" s="52">
        <v>1000</v>
      </c>
      <c r="B85" s="31" t="s">
        <v>84</v>
      </c>
      <c r="C85" s="32">
        <f>SUM(C86:C89)</f>
        <v>0</v>
      </c>
      <c r="D85" s="3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0.75" hidden="1" customHeight="1" x14ac:dyDescent="0.25">
      <c r="A86" s="53">
        <v>1001</v>
      </c>
      <c r="B86" s="54" t="s">
        <v>85</v>
      </c>
      <c r="C86" s="37"/>
      <c r="D86" s="32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 x14ac:dyDescent="0.25">
      <c r="A87" s="53">
        <v>1003</v>
      </c>
      <c r="B87" s="54" t="s">
        <v>86</v>
      </c>
      <c r="C87" s="37">
        <v>0</v>
      </c>
      <c r="D87" s="32">
        <v>0</v>
      </c>
      <c r="E87" s="38" t="e">
        <f t="shared" si="3"/>
        <v>#DIV/0!</v>
      </c>
      <c r="F87" s="38">
        <f t="shared" si="4"/>
        <v>0</v>
      </c>
    </row>
    <row r="88" spans="1:6" ht="19.5" hidden="1" customHeight="1" x14ac:dyDescent="0.25">
      <c r="A88" s="53">
        <v>1004</v>
      </c>
      <c r="B88" s="54" t="s">
        <v>87</v>
      </c>
      <c r="C88" s="37">
        <v>0</v>
      </c>
      <c r="D88" s="32">
        <v>0</v>
      </c>
      <c r="E88" s="38" t="e">
        <f t="shared" si="3"/>
        <v>#DIV/0!</v>
      </c>
      <c r="F88" s="38">
        <f t="shared" si="4"/>
        <v>0</v>
      </c>
    </row>
    <row r="89" spans="1:6" ht="18" hidden="1" customHeight="1" x14ac:dyDescent="0.25">
      <c r="A89" s="35" t="s">
        <v>88</v>
      </c>
      <c r="B89" s="39" t="s">
        <v>89</v>
      </c>
      <c r="C89" s="37">
        <v>0</v>
      </c>
      <c r="D89" s="37">
        <v>0</v>
      </c>
      <c r="E89" s="38"/>
      <c r="F89" s="38">
        <f t="shared" si="4"/>
        <v>0</v>
      </c>
    </row>
    <row r="90" spans="1:6" ht="15.75" customHeight="1" x14ac:dyDescent="0.25">
      <c r="A90" s="30" t="s">
        <v>90</v>
      </c>
      <c r="B90" s="31" t="s">
        <v>91</v>
      </c>
      <c r="C90" s="32">
        <f>C91+C92+C93+C94+C95</f>
        <v>44</v>
      </c>
      <c r="D90" s="32">
        <f>D91+D92+D93+D94+D95</f>
        <v>44</v>
      </c>
      <c r="E90" s="38">
        <f t="shared" si="3"/>
        <v>100</v>
      </c>
      <c r="F90" s="22">
        <f>F91+F92+F93+F94+F95</f>
        <v>0</v>
      </c>
    </row>
    <row r="91" spans="1:6" ht="19.5" customHeight="1" x14ac:dyDescent="0.25">
      <c r="A91" s="35" t="s">
        <v>92</v>
      </c>
      <c r="B91" s="39" t="s">
        <v>93</v>
      </c>
      <c r="C91" s="37">
        <v>44</v>
      </c>
      <c r="D91" s="37">
        <v>44</v>
      </c>
      <c r="E91" s="38">
        <f t="shared" si="3"/>
        <v>100</v>
      </c>
      <c r="F91" s="38">
        <f>SUM(D91-C91)</f>
        <v>0</v>
      </c>
    </row>
    <row r="92" spans="1:6" ht="15" hidden="1" customHeight="1" x14ac:dyDescent="0.25">
      <c r="A92" s="35" t="s">
        <v>94</v>
      </c>
      <c r="B92" s="39" t="s">
        <v>95</v>
      </c>
      <c r="C92" s="37"/>
      <c r="D92" s="37"/>
      <c r="E92" s="38" t="e">
        <f t="shared" si="3"/>
        <v>#DIV/0!</v>
      </c>
      <c r="F92" s="38">
        <f>SUM(D92-C92)</f>
        <v>0</v>
      </c>
    </row>
    <row r="93" spans="1:6" ht="15" hidden="1" customHeight="1" x14ac:dyDescent="0.25">
      <c r="A93" s="35" t="s">
        <v>96</v>
      </c>
      <c r="B93" s="39" t="s">
        <v>97</v>
      </c>
      <c r="C93" s="37"/>
      <c r="D93" s="37"/>
      <c r="E93" s="38" t="e">
        <f t="shared" si="3"/>
        <v>#DIV/0!</v>
      </c>
      <c r="F93" s="38"/>
    </row>
    <row r="94" spans="1:6" ht="15" hidden="1" customHeight="1" x14ac:dyDescent="0.25">
      <c r="A94" s="35" t="s">
        <v>98</v>
      </c>
      <c r="B94" s="39" t="s">
        <v>99</v>
      </c>
      <c r="C94" s="37"/>
      <c r="D94" s="37"/>
      <c r="E94" s="38" t="e">
        <f t="shared" si="3"/>
        <v>#DIV/0!</v>
      </c>
      <c r="F94" s="38"/>
    </row>
    <row r="95" spans="1:6" ht="13.5" hidden="1" customHeight="1" x14ac:dyDescent="0.25">
      <c r="A95" s="35" t="s">
        <v>100</v>
      </c>
      <c r="B95" s="39" t="s">
        <v>101</v>
      </c>
      <c r="C95" s="37"/>
      <c r="D95" s="37"/>
      <c r="E95" s="38" t="e">
        <f t="shared" si="3"/>
        <v>#DIV/0!</v>
      </c>
      <c r="F95" s="38"/>
    </row>
    <row r="96" spans="1:6" s="6" customFormat="1" ht="0.75" hidden="1" customHeight="1" x14ac:dyDescent="0.25">
      <c r="A96" s="52">
        <v>1400</v>
      </c>
      <c r="B96" s="56" t="s">
        <v>109</v>
      </c>
      <c r="C96" s="48">
        <f>C97+C98+C99</f>
        <v>0</v>
      </c>
      <c r="D96" s="48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5" hidden="1" customHeight="1" x14ac:dyDescent="0.25">
      <c r="A97" s="53">
        <v>1401</v>
      </c>
      <c r="B97" s="54" t="s">
        <v>110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57.75" hidden="1" customHeight="1" x14ac:dyDescent="0.25">
      <c r="A98" s="53">
        <v>1402</v>
      </c>
      <c r="B98" s="54" t="s">
        <v>111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15" hidden="1" customHeight="1" x14ac:dyDescent="0.25">
      <c r="A99" s="53">
        <v>1403</v>
      </c>
      <c r="B99" s="54" t="s">
        <v>112</v>
      </c>
      <c r="C99" s="49">
        <v>0</v>
      </c>
      <c r="D99" s="37">
        <v>0</v>
      </c>
      <c r="E99" s="38" t="e">
        <f t="shared" si="3"/>
        <v>#DIV/0!</v>
      </c>
      <c r="F99" s="38">
        <f t="shared" si="4"/>
        <v>0</v>
      </c>
    </row>
    <row r="100" spans="1:6" s="6" customFormat="1" ht="16.5" customHeight="1" x14ac:dyDescent="0.25">
      <c r="A100" s="52"/>
      <c r="B100" s="57" t="s">
        <v>113</v>
      </c>
      <c r="C100" s="243">
        <f>C57+C65+C67+C73+C78+C83+C85+C90+C96</f>
        <v>14735.899149999999</v>
      </c>
      <c r="D100" s="243">
        <f>D57+D65+D67+D73+D78+D83+D85+D90+D96</f>
        <v>13577.253279999999</v>
      </c>
      <c r="E100" s="34">
        <f t="shared" si="3"/>
        <v>92.137257060421717</v>
      </c>
      <c r="F100" s="34">
        <f t="shared" si="4"/>
        <v>-1158.6458700000003</v>
      </c>
    </row>
    <row r="101" spans="1:6" ht="20.25" customHeight="1" x14ac:dyDescent="0.25">
      <c r="C101" s="225"/>
      <c r="D101" s="226"/>
    </row>
    <row r="102" spans="1:6" s="65" customFormat="1" ht="13.5" customHeight="1" x14ac:dyDescent="0.2">
      <c r="A102" s="63" t="s">
        <v>114</v>
      </c>
      <c r="B102" s="63"/>
      <c r="C102" s="64"/>
      <c r="D102" s="64"/>
    </row>
    <row r="103" spans="1:6" s="65" customFormat="1" ht="12.75" x14ac:dyDescent="0.2">
      <c r="A103" s="66" t="s">
        <v>115</v>
      </c>
      <c r="B103" s="66"/>
      <c r="C103" s="132" t="s">
        <v>116</v>
      </c>
      <c r="D103" s="132"/>
    </row>
    <row r="104" spans="1:6" ht="5.25" customHeight="1" x14ac:dyDescent="0.25"/>
    <row r="143" hidden="1" x14ac:dyDescent="0.25"/>
  </sheetData>
  <customSheetViews>
    <customSheetView guid="{4D5E6ACC-9055-4DE9-8C20-9052F3C35D19}" scale="70" showPageBreaks="1" hiddenRows="1" state="hidden" view="pageBreakPreview" topLeftCell="A12">
      <selection activeCell="D29" sqref="D29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5C539BE6-C8E0-453F-AB5E-9E58094195EA}" scale="70" showPageBreaks="1" hiddenRows="1" view="pageBreakPreview">
      <selection activeCell="D35" sqref="D35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4"/>
    </customSheetView>
    <customSheetView guid="{1A52382B-3765-4E8C-903F-6B8919B7242E}" scale="70" showPageBreaks="1" hiddenRows="1" view="pageBreakPreview" topLeftCell="A40">
      <selection activeCell="D90" sqref="D90"/>
      <pageMargins left="0.7" right="0.7" top="0.75" bottom="0.75" header="0.3" footer="0.3"/>
      <pageSetup paperSize="9" scale="57" orientation="portrait" r:id="rId5"/>
    </customSheetView>
    <customSheetView guid="{B31C8DB7-3E78-4144-A6B5-8DE36DE63F0E}" hiddenRows="1" topLeftCell="A31">
      <selection activeCell="D46" sqref="D46"/>
      <pageMargins left="0.7" right="0.7" top="0.75" bottom="0.75" header="0.3" footer="0.3"/>
      <pageSetup paperSize="9" scale="57" orientation="portrait" r:id="rId6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7"/>
    </customSheetView>
    <customSheetView guid="{B30CE22D-C12F-4E12-8BB9-3AAE0A6991CC}" scale="70" showPageBreaks="1" hiddenRows="1" view="pageBreakPreview" topLeftCell="A28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hiddenRows="1" view="pageBreakPreview" topLeftCell="A3">
      <selection activeCell="E6" sqref="E6"/>
      <pageMargins left="0.7" right="0.7" top="0.75" bottom="0.75" header="0.3" footer="0.3"/>
      <pageSetup paperSize="9" scale="40" orientation="portrait" r:id="rId9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10"/>
    </customSheetView>
    <customSheetView guid="{F85EE840-0C31-454A-8951-832C2E9E0600}" scale="70" showPageBreaks="1" hiddenRows="1" state="hidden" view="pageBreakPreview" topLeftCell="A18">
      <selection activeCell="C69" sqref="C69"/>
      <pageMargins left="0.70866141732283472" right="0.70866141732283472" top="0.74803149606299213" bottom="0.74803149606299213" header="0.31496062992125984" footer="0.31496062992125984"/>
      <pageSetup paperSize="9" scale="55" orientation="portrait" r:id="rId11"/>
    </customSheetView>
    <customSheetView guid="{F1E84C44-1ACD-474A-BDE0-C7088DB6C590}" scale="70" showPageBreaks="1" hiddenRows="1" state="hidden" view="pageBreakPreview" topLeftCell="A12">
      <selection activeCell="D29" sqref="D29"/>
      <pageMargins left="0.70866141732283472" right="0.70866141732283472" top="0.74803149606299213" bottom="0.74803149606299213" header="0.31496062992125984" footer="0.31496062992125984"/>
      <pageSetup paperSize="9" scale="55" orientation="portrait" r:id="rId12"/>
    </customSheetView>
    <customSheetView guid="{61528DAC-5C4C-48F4-ADE2-8A724B05A086}" scale="70" showPageBreaks="1" hiddenRows="1" state="hidden" view="pageBreakPreview" topLeftCell="A12">
      <selection activeCell="D29" sqref="D29"/>
      <pageMargins left="0.70866141732283472" right="0.70866141732283472" top="0.74803149606299213" bottom="0.74803149606299213" header="0.31496062992125984" footer="0.31496062992125984"/>
      <pageSetup paperSize="9" scale="55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G143"/>
  <sheetViews>
    <sheetView view="pageBreakPreview" topLeftCell="A34" zoomScale="70" zoomScaleNormal="100" zoomScaleSheetLayoutView="70" workbookViewId="0">
      <selection activeCell="D89" sqref="D89"/>
    </sheetView>
  </sheetViews>
  <sheetFormatPr defaultRowHeight="15.75" x14ac:dyDescent="0.25"/>
  <cols>
    <col min="1" max="1" width="18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x14ac:dyDescent="0.25">
      <c r="A1" s="599" t="s">
        <v>418</v>
      </c>
      <c r="B1" s="599"/>
      <c r="C1" s="599"/>
      <c r="D1" s="599"/>
      <c r="E1" s="599"/>
      <c r="F1" s="599"/>
    </row>
    <row r="2" spans="1:6" x14ac:dyDescent="0.25">
      <c r="A2" s="599"/>
      <c r="B2" s="599"/>
      <c r="C2" s="599"/>
      <c r="D2" s="599"/>
      <c r="E2" s="599"/>
      <c r="F2" s="599"/>
    </row>
    <row r="3" spans="1:6" ht="63" x14ac:dyDescent="0.25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 x14ac:dyDescent="0.25">
      <c r="A4" s="3"/>
      <c r="B4" s="4" t="s">
        <v>4</v>
      </c>
      <c r="C4" s="5">
        <f>C5+C12+C14+C17+C7</f>
        <v>1933.92697</v>
      </c>
      <c r="D4" s="5">
        <f>D5+D12+D14+D17+D7+D20</f>
        <v>1923.4324299999998</v>
      </c>
      <c r="E4" s="5">
        <f>SUM(D4/C4*100)</f>
        <v>99.457345589425231</v>
      </c>
      <c r="F4" s="5">
        <f>SUM(D4-C4)</f>
        <v>-10.494540000000143</v>
      </c>
    </row>
    <row r="5" spans="1:6" s="6" customFormat="1" x14ac:dyDescent="0.25">
      <c r="A5" s="68">
        <v>1010000000</v>
      </c>
      <c r="B5" s="67" t="s">
        <v>5</v>
      </c>
      <c r="C5" s="5">
        <f>C6</f>
        <v>162</v>
      </c>
      <c r="D5" s="5">
        <f>D6</f>
        <v>190.92481000000001</v>
      </c>
      <c r="E5" s="5">
        <f t="shared" ref="E5:E51" si="0">SUM(D5/C5*100)</f>
        <v>117.85482098765432</v>
      </c>
      <c r="F5" s="5">
        <f t="shared" ref="F5:F48" si="1">SUM(D5-C5)</f>
        <v>28.924810000000008</v>
      </c>
    </row>
    <row r="6" spans="1:6" x14ac:dyDescent="0.25">
      <c r="A6" s="7">
        <v>1010200001</v>
      </c>
      <c r="B6" s="8" t="s">
        <v>220</v>
      </c>
      <c r="C6" s="9">
        <v>162</v>
      </c>
      <c r="D6" s="10">
        <v>190.92481000000001</v>
      </c>
      <c r="E6" s="9">
        <f t="shared" ref="E6:E11" si="2">SUM(D6/C6*100)</f>
        <v>117.85482098765432</v>
      </c>
      <c r="F6" s="9">
        <f t="shared" si="1"/>
        <v>28.924810000000008</v>
      </c>
    </row>
    <row r="7" spans="1:6" ht="31.5" x14ac:dyDescent="0.25">
      <c r="A7" s="3">
        <v>1030000000</v>
      </c>
      <c r="B7" s="13" t="s">
        <v>259</v>
      </c>
      <c r="C7" s="5">
        <f>C8+C10+C9</f>
        <v>779.92696999999998</v>
      </c>
      <c r="D7" s="5">
        <f>D8+D10+D9+D11</f>
        <v>808.97937999999999</v>
      </c>
      <c r="E7" s="9">
        <f t="shared" si="2"/>
        <v>103.72501671534708</v>
      </c>
      <c r="F7" s="9">
        <f t="shared" si="1"/>
        <v>29.052410000000009</v>
      </c>
    </row>
    <row r="8" spans="1:6" x14ac:dyDescent="0.25">
      <c r="A8" s="7">
        <v>1030223001</v>
      </c>
      <c r="B8" s="8" t="s">
        <v>261</v>
      </c>
      <c r="C8" s="9">
        <v>350.88997000000001</v>
      </c>
      <c r="D8" s="10">
        <v>405.54705999999999</v>
      </c>
      <c r="E8" s="9">
        <f t="shared" si="2"/>
        <v>115.57670343213286</v>
      </c>
      <c r="F8" s="9">
        <f t="shared" si="1"/>
        <v>54.657089999999982</v>
      </c>
    </row>
    <row r="9" spans="1:6" x14ac:dyDescent="0.25">
      <c r="A9" s="7">
        <v>1030224001</v>
      </c>
      <c r="B9" s="8" t="s">
        <v>267</v>
      </c>
      <c r="C9" s="9">
        <v>2.7370000000000001</v>
      </c>
      <c r="D9" s="10">
        <v>2.1905800000000002</v>
      </c>
      <c r="E9" s="9">
        <f t="shared" si="2"/>
        <v>80.03580562659846</v>
      </c>
      <c r="F9" s="9">
        <f t="shared" si="1"/>
        <v>-0.54641999999999991</v>
      </c>
    </row>
    <row r="10" spans="1:6" x14ac:dyDescent="0.25">
      <c r="A10" s="7">
        <v>1030225001</v>
      </c>
      <c r="B10" s="8" t="s">
        <v>260</v>
      </c>
      <c r="C10" s="9">
        <v>426.3</v>
      </c>
      <c r="D10" s="10">
        <v>447.76974999999999</v>
      </c>
      <c r="E10" s="9">
        <f t="shared" si="2"/>
        <v>105.03630072718741</v>
      </c>
      <c r="F10" s="9">
        <f t="shared" si="1"/>
        <v>21.469749999999976</v>
      </c>
    </row>
    <row r="11" spans="1:6" x14ac:dyDescent="0.25">
      <c r="A11" s="7">
        <v>1030226001</v>
      </c>
      <c r="B11" s="8" t="s">
        <v>269</v>
      </c>
      <c r="C11" s="9">
        <v>0</v>
      </c>
      <c r="D11" s="10">
        <v>-46.528010000000002</v>
      </c>
      <c r="E11" s="9" t="e">
        <f t="shared" si="2"/>
        <v>#DIV/0!</v>
      </c>
      <c r="F11" s="9">
        <f t="shared" si="1"/>
        <v>-46.528010000000002</v>
      </c>
    </row>
    <row r="12" spans="1:6" s="6" customFormat="1" x14ac:dyDescent="0.25">
      <c r="A12" s="68">
        <v>1050000000</v>
      </c>
      <c r="B12" s="67" t="s">
        <v>6</v>
      </c>
      <c r="C12" s="5">
        <f>SUM(C13:C13)</f>
        <v>30</v>
      </c>
      <c r="D12" s="5">
        <f>D13</f>
        <v>2.0487000000000002</v>
      </c>
      <c r="E12" s="5">
        <f t="shared" si="0"/>
        <v>6.8290000000000006</v>
      </c>
      <c r="F12" s="5">
        <f t="shared" si="1"/>
        <v>-27.9513</v>
      </c>
    </row>
    <row r="13" spans="1:6" ht="15.75" customHeight="1" x14ac:dyDescent="0.25">
      <c r="A13" s="7">
        <v>1050300000</v>
      </c>
      <c r="B13" s="11" t="s">
        <v>221</v>
      </c>
      <c r="C13" s="12">
        <v>30</v>
      </c>
      <c r="D13" s="10">
        <v>2.0487000000000002</v>
      </c>
      <c r="E13" s="9">
        <f t="shared" si="0"/>
        <v>6.8290000000000006</v>
      </c>
      <c r="F13" s="9">
        <f t="shared" si="1"/>
        <v>-27.9513</v>
      </c>
    </row>
    <row r="14" spans="1:6" s="6" customFormat="1" ht="15.75" customHeight="1" x14ac:dyDescent="0.25">
      <c r="A14" s="68">
        <v>1060000000</v>
      </c>
      <c r="B14" s="67" t="s">
        <v>129</v>
      </c>
      <c r="C14" s="5">
        <f>C15+C16</f>
        <v>958</v>
      </c>
      <c r="D14" s="5">
        <f>D15+D16</f>
        <v>914.17953999999997</v>
      </c>
      <c r="E14" s="5">
        <f t="shared" si="0"/>
        <v>95.425839248434229</v>
      </c>
      <c r="F14" s="5">
        <f t="shared" si="1"/>
        <v>-43.820460000000026</v>
      </c>
    </row>
    <row r="15" spans="1:6" s="6" customFormat="1" ht="15.75" customHeight="1" x14ac:dyDescent="0.25">
      <c r="A15" s="7">
        <v>1060100000</v>
      </c>
      <c r="B15" s="11" t="s">
        <v>8</v>
      </c>
      <c r="C15" s="9">
        <v>198</v>
      </c>
      <c r="D15" s="10">
        <v>199.17413999999999</v>
      </c>
      <c r="E15" s="9">
        <f t="shared" si="0"/>
        <v>100.593</v>
      </c>
      <c r="F15" s="9">
        <f>SUM(D15-C15)</f>
        <v>1.1741399999999942</v>
      </c>
    </row>
    <row r="16" spans="1:6" ht="15.75" customHeight="1" x14ac:dyDescent="0.25">
      <c r="A16" s="7">
        <v>1060600000</v>
      </c>
      <c r="B16" s="11" t="s">
        <v>7</v>
      </c>
      <c r="C16" s="9">
        <v>760</v>
      </c>
      <c r="D16" s="10">
        <v>715.00540000000001</v>
      </c>
      <c r="E16" s="9">
        <f t="shared" si="0"/>
        <v>94.07965789473684</v>
      </c>
      <c r="F16" s="9">
        <f t="shared" si="1"/>
        <v>-44.994599999999991</v>
      </c>
    </row>
    <row r="17" spans="1:6" s="6" customFormat="1" x14ac:dyDescent="0.25">
      <c r="A17" s="3">
        <v>1080000000</v>
      </c>
      <c r="B17" s="4" t="s">
        <v>10</v>
      </c>
      <c r="C17" s="5">
        <f>C18+C19</f>
        <v>4</v>
      </c>
      <c r="D17" s="5">
        <f>D18+D19</f>
        <v>7.3</v>
      </c>
      <c r="E17" s="5">
        <f t="shared" si="0"/>
        <v>182.5</v>
      </c>
      <c r="F17" s="5">
        <f t="shared" si="1"/>
        <v>3.3</v>
      </c>
    </row>
    <row r="18" spans="1:6" ht="18" customHeight="1" x14ac:dyDescent="0.25">
      <c r="A18" s="7">
        <v>1080400001</v>
      </c>
      <c r="B18" s="8" t="s">
        <v>219</v>
      </c>
      <c r="C18" s="9">
        <v>4</v>
      </c>
      <c r="D18" s="10">
        <v>7.3</v>
      </c>
      <c r="E18" s="9">
        <f t="shared" si="0"/>
        <v>182.5</v>
      </c>
      <c r="F18" s="9">
        <f t="shared" si="1"/>
        <v>3.3</v>
      </c>
    </row>
    <row r="19" spans="1:6" ht="36.75" hidden="1" customHeight="1" x14ac:dyDescent="0.25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 x14ac:dyDescent="0.25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 x14ac:dyDescent="0.25">
      <c r="A21" s="7">
        <v>1090100000</v>
      </c>
      <c r="B21" s="8" t="s">
        <v>118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 x14ac:dyDescent="0.25">
      <c r="A22" s="7">
        <v>1090400000</v>
      </c>
      <c r="B22" s="8" t="s">
        <v>119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 x14ac:dyDescent="0.25">
      <c r="A23" s="7">
        <v>1090600000</v>
      </c>
      <c r="B23" s="8" t="s">
        <v>120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 x14ac:dyDescent="0.25">
      <c r="A24" s="3">
        <v>1090700000</v>
      </c>
      <c r="B24" s="13" t="s">
        <v>121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 x14ac:dyDescent="0.25">
      <c r="A25" s="3"/>
      <c r="B25" s="4" t="s">
        <v>12</v>
      </c>
      <c r="C25" s="5">
        <f>C26+C29+C31+C36+C34</f>
        <v>675.05020000000002</v>
      </c>
      <c r="D25" s="5">
        <f>D26+D29+D31+D36+D34</f>
        <v>698.76235999999994</v>
      </c>
      <c r="E25" s="5">
        <f t="shared" si="0"/>
        <v>103.5126513554103</v>
      </c>
      <c r="F25" s="5">
        <f t="shared" si="1"/>
        <v>23.712159999999926</v>
      </c>
    </row>
    <row r="26" spans="1:6" s="6" customFormat="1" ht="30" customHeight="1" x14ac:dyDescent="0.25">
      <c r="A26" s="68">
        <v>1110000000</v>
      </c>
      <c r="B26" s="69" t="s">
        <v>122</v>
      </c>
      <c r="C26" s="5">
        <f>C27+C28</f>
        <v>213.87064000000001</v>
      </c>
      <c r="D26" s="242">
        <f>D27+D28</f>
        <v>211.31376</v>
      </c>
      <c r="E26" s="5">
        <f t="shared" si="0"/>
        <v>98.804473582722707</v>
      </c>
      <c r="F26" s="5">
        <f t="shared" si="1"/>
        <v>-2.5568800000000067</v>
      </c>
    </row>
    <row r="27" spans="1:6" x14ac:dyDescent="0.25">
      <c r="A27" s="16">
        <v>1110502510</v>
      </c>
      <c r="B27" s="17" t="s">
        <v>217</v>
      </c>
      <c r="C27" s="12">
        <v>207.87064000000001</v>
      </c>
      <c r="D27" s="10">
        <v>204.54</v>
      </c>
      <c r="E27" s="9">
        <f t="shared" si="0"/>
        <v>98.397734283206134</v>
      </c>
      <c r="F27" s="9">
        <f t="shared" si="1"/>
        <v>-3.3306400000000167</v>
      </c>
    </row>
    <row r="28" spans="1:6" ht="18" customHeight="1" x14ac:dyDescent="0.25">
      <c r="A28" s="7">
        <v>1110503510</v>
      </c>
      <c r="B28" s="11" t="s">
        <v>216</v>
      </c>
      <c r="C28" s="12">
        <v>6</v>
      </c>
      <c r="D28" s="10">
        <v>6.7737600000000002</v>
      </c>
      <c r="E28" s="9">
        <f t="shared" si="0"/>
        <v>112.896</v>
      </c>
      <c r="F28" s="9">
        <f t="shared" si="1"/>
        <v>0.77376000000000023</v>
      </c>
    </row>
    <row r="29" spans="1:6" s="15" customFormat="1" ht="29.25" x14ac:dyDescent="0.25">
      <c r="A29" s="68">
        <v>1130000000</v>
      </c>
      <c r="B29" s="69" t="s">
        <v>124</v>
      </c>
      <c r="C29" s="5">
        <f>C30</f>
        <v>10</v>
      </c>
      <c r="D29" s="5">
        <f>D30</f>
        <v>7.5</v>
      </c>
      <c r="E29" s="5">
        <f t="shared" si="0"/>
        <v>75</v>
      </c>
      <c r="F29" s="5">
        <f t="shared" si="1"/>
        <v>-2.5</v>
      </c>
    </row>
    <row r="30" spans="1:6" ht="17.25" customHeight="1" x14ac:dyDescent="0.25">
      <c r="A30" s="7">
        <v>1130206005</v>
      </c>
      <c r="B30" s="8" t="s">
        <v>215</v>
      </c>
      <c r="C30" s="9">
        <v>10</v>
      </c>
      <c r="D30" s="10">
        <v>7.5</v>
      </c>
      <c r="E30" s="9">
        <f t="shared" si="0"/>
        <v>75</v>
      </c>
      <c r="F30" s="9">
        <f t="shared" si="1"/>
        <v>-2.5</v>
      </c>
    </row>
    <row r="31" spans="1:6" ht="23.25" customHeight="1" x14ac:dyDescent="0.25">
      <c r="A31" s="70">
        <v>1140000000</v>
      </c>
      <c r="B31" s="71" t="s">
        <v>125</v>
      </c>
      <c r="C31" s="5">
        <f>C32+C33</f>
        <v>13.4</v>
      </c>
      <c r="D31" s="5">
        <f>D32+D33</f>
        <v>64.994699999999995</v>
      </c>
      <c r="E31" s="5">
        <f t="shared" si="0"/>
        <v>485.03507462686565</v>
      </c>
      <c r="F31" s="5">
        <f t="shared" si="1"/>
        <v>51.594699999999996</v>
      </c>
    </row>
    <row r="32" spans="1:6" ht="22.5" customHeight="1" x14ac:dyDescent="0.25">
      <c r="A32" s="16">
        <v>1140200000</v>
      </c>
      <c r="B32" s="18" t="s">
        <v>213</v>
      </c>
      <c r="C32" s="9">
        <v>13.4</v>
      </c>
      <c r="D32" s="10">
        <v>64.994699999999995</v>
      </c>
      <c r="E32" s="9">
        <f t="shared" si="0"/>
        <v>485.03507462686565</v>
      </c>
      <c r="F32" s="9">
        <f t="shared" si="1"/>
        <v>51.594699999999996</v>
      </c>
    </row>
    <row r="33" spans="1:7" ht="21.75" customHeight="1" x14ac:dyDescent="0.25">
      <c r="A33" s="7">
        <v>1140600000</v>
      </c>
      <c r="B33" s="8" t="s">
        <v>214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 x14ac:dyDescent="0.25">
      <c r="A34" s="3">
        <v>1160000000</v>
      </c>
      <c r="B34" s="13" t="s">
        <v>236</v>
      </c>
      <c r="C34" s="5">
        <f>C35</f>
        <v>0</v>
      </c>
      <c r="D34" s="5">
        <f>D35</f>
        <v>0</v>
      </c>
      <c r="E34" s="9" t="e">
        <f>SUM(D34/C34*100)</f>
        <v>#DIV/0!</v>
      </c>
      <c r="F34" s="9">
        <f>SUM(D34-C34)</f>
        <v>0</v>
      </c>
    </row>
    <row r="35" spans="1:7" ht="29.25" customHeight="1" x14ac:dyDescent="0.25">
      <c r="A35" s="7">
        <v>1163305010</v>
      </c>
      <c r="B35" s="8" t="s">
        <v>251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 x14ac:dyDescent="0.25">
      <c r="A36" s="3">
        <v>1170000000</v>
      </c>
      <c r="B36" s="13" t="s">
        <v>128</v>
      </c>
      <c r="C36" s="5">
        <f>C37+C38</f>
        <v>437.77956</v>
      </c>
      <c r="D36" s="5">
        <f>D37+D38</f>
        <v>414.95389999999998</v>
      </c>
      <c r="E36" s="5">
        <f t="shared" si="0"/>
        <v>94.786037977652498</v>
      </c>
      <c r="F36" s="5">
        <f t="shared" si="1"/>
        <v>-22.825660000000028</v>
      </c>
    </row>
    <row r="37" spans="1:7" ht="17.25" customHeight="1" x14ac:dyDescent="0.25">
      <c r="A37" s="7">
        <v>1171503010</v>
      </c>
      <c r="B37" s="11" t="s">
        <v>406</v>
      </c>
      <c r="C37" s="9">
        <v>437.77956</v>
      </c>
      <c r="D37" s="9">
        <v>414.95389999999998</v>
      </c>
      <c r="E37" s="9">
        <f t="shared" si="0"/>
        <v>94.786037977652498</v>
      </c>
      <c r="F37" s="9">
        <f t="shared" si="1"/>
        <v>-22.825660000000028</v>
      </c>
    </row>
    <row r="38" spans="1:7" ht="19.5" hidden="1" customHeight="1" x14ac:dyDescent="0.25">
      <c r="A38" s="7">
        <v>1170505005</v>
      </c>
      <c r="B38" s="11" t="s">
        <v>212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 x14ac:dyDescent="0.25">
      <c r="A39" s="3">
        <v>1000000000</v>
      </c>
      <c r="B39" s="4" t="s">
        <v>16</v>
      </c>
      <c r="C39" s="125">
        <f>SUM(C4,C25)</f>
        <v>2608.9771700000001</v>
      </c>
      <c r="D39" s="125">
        <f>SUM(D4,D25)</f>
        <v>2622.1947899999996</v>
      </c>
      <c r="E39" s="5">
        <f t="shared" si="0"/>
        <v>100.50662076126942</v>
      </c>
      <c r="F39" s="5">
        <f t="shared" si="1"/>
        <v>13.217619999999442</v>
      </c>
    </row>
    <row r="40" spans="1:7" s="6" customFormat="1" x14ac:dyDescent="0.25">
      <c r="A40" s="3">
        <v>2000000000</v>
      </c>
      <c r="B40" s="4" t="s">
        <v>17</v>
      </c>
      <c r="C40" s="224">
        <f>C41+C42+C43+C44+C48+C49</f>
        <v>16619.14644</v>
      </c>
      <c r="D40" s="224">
        <f>D41+D42+D43+D44+D48+D49+D50</f>
        <v>16592.246439999999</v>
      </c>
      <c r="E40" s="5">
        <f t="shared" si="0"/>
        <v>99.838138498284991</v>
      </c>
      <c r="F40" s="5">
        <f t="shared" si="1"/>
        <v>-26.900000000001455</v>
      </c>
      <c r="G40" s="19"/>
    </row>
    <row r="41" spans="1:7" x14ac:dyDescent="0.25">
      <c r="A41" s="16">
        <v>2021000000</v>
      </c>
      <c r="B41" s="17" t="s">
        <v>18</v>
      </c>
      <c r="C41" s="12">
        <v>4849.2</v>
      </c>
      <c r="D41" s="20">
        <v>4849.2</v>
      </c>
      <c r="E41" s="9">
        <f t="shared" si="0"/>
        <v>100</v>
      </c>
      <c r="F41" s="9">
        <f t="shared" si="1"/>
        <v>0</v>
      </c>
    </row>
    <row r="42" spans="1:7" ht="17.25" customHeight="1" x14ac:dyDescent="0.25">
      <c r="A42" s="16">
        <v>2021500200</v>
      </c>
      <c r="B42" s="17" t="s">
        <v>223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x14ac:dyDescent="0.25">
      <c r="A43" s="16">
        <v>2022000000</v>
      </c>
      <c r="B43" s="17" t="s">
        <v>19</v>
      </c>
      <c r="C43" s="12">
        <v>10736.637360000001</v>
      </c>
      <c r="D43" s="10">
        <v>10709.737359999999</v>
      </c>
      <c r="E43" s="9">
        <f t="shared" si="0"/>
        <v>99.749456006587138</v>
      </c>
      <c r="F43" s="9">
        <f t="shared" si="1"/>
        <v>-26.900000000001455</v>
      </c>
    </row>
    <row r="44" spans="1:7" ht="18" customHeight="1" x14ac:dyDescent="0.25">
      <c r="A44" s="16">
        <v>2023000000</v>
      </c>
      <c r="B44" s="17" t="s">
        <v>20</v>
      </c>
      <c r="C44" s="12">
        <v>266.97908999999999</v>
      </c>
      <c r="D44" s="180">
        <v>266.97908999999999</v>
      </c>
      <c r="E44" s="9">
        <f t="shared" si="0"/>
        <v>100</v>
      </c>
      <c r="F44" s="9">
        <f t="shared" si="1"/>
        <v>0</v>
      </c>
    </row>
    <row r="45" spans="1:7" ht="0.75" hidden="1" customHeight="1" x14ac:dyDescent="0.25">
      <c r="A45" s="16">
        <v>2020400000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8" hidden="1" customHeight="1" x14ac:dyDescent="0.25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idden="1" x14ac:dyDescent="0.25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7" s="6" customFormat="1" ht="18" customHeight="1" x14ac:dyDescent="0.25">
      <c r="A48" s="7">
        <v>2024000000</v>
      </c>
      <c r="B48" s="8" t="s">
        <v>21</v>
      </c>
      <c r="C48" s="12">
        <v>766.32998999999995</v>
      </c>
      <c r="D48" s="10">
        <v>766.32998999999995</v>
      </c>
      <c r="E48" s="9">
        <f t="shared" si="0"/>
        <v>100</v>
      </c>
      <c r="F48" s="9">
        <f t="shared" si="1"/>
        <v>0</v>
      </c>
    </row>
    <row r="49" spans="1:7" s="6" customFormat="1" ht="18.75" customHeight="1" x14ac:dyDescent="0.25">
      <c r="A49" s="7">
        <v>2070500010</v>
      </c>
      <c r="B49" s="8" t="s">
        <v>325</v>
      </c>
      <c r="C49" s="12"/>
      <c r="D49" s="10"/>
      <c r="E49" s="9" t="e">
        <f>SUM(D49/C49*100)</f>
        <v>#DIV/0!</v>
      </c>
      <c r="F49" s="9">
        <f>SUM(D49-C49)</f>
        <v>0</v>
      </c>
    </row>
    <row r="50" spans="1:7" s="6" customFormat="1" ht="18.75" customHeight="1" x14ac:dyDescent="0.25">
      <c r="A50" s="7">
        <v>2190500005</v>
      </c>
      <c r="B50" s="11" t="s">
        <v>23</v>
      </c>
      <c r="C50" s="12">
        <v>0</v>
      </c>
      <c r="D50" s="10">
        <v>0</v>
      </c>
      <c r="E50" s="9"/>
      <c r="F50" s="9"/>
    </row>
    <row r="51" spans="1:7" s="6" customFormat="1" ht="19.5" customHeight="1" x14ac:dyDescent="0.25">
      <c r="A51" s="3"/>
      <c r="B51" s="4" t="s">
        <v>25</v>
      </c>
      <c r="C51" s="240">
        <f>C39+C40</f>
        <v>19228.123610000002</v>
      </c>
      <c r="D51" s="240">
        <f>SUM(D39,D40,)</f>
        <v>19214.441229999997</v>
      </c>
      <c r="E51" s="5">
        <f t="shared" si="0"/>
        <v>99.928841834608917</v>
      </c>
      <c r="F51" s="5">
        <f>SUM(D51-C51)</f>
        <v>-13.682380000005651</v>
      </c>
      <c r="G51" s="193"/>
    </row>
    <row r="52" spans="1:7" s="6" customFormat="1" x14ac:dyDescent="0.25">
      <c r="A52" s="3"/>
      <c r="B52" s="21" t="s">
        <v>299</v>
      </c>
      <c r="C52" s="240">
        <f>C51-C98</f>
        <v>-659.32935999999609</v>
      </c>
      <c r="D52" s="240">
        <f>D51-D98</f>
        <v>-169.32279000000563</v>
      </c>
      <c r="E52" s="22"/>
      <c r="F52" s="22"/>
    </row>
    <row r="53" spans="1:7" x14ac:dyDescent="0.25">
      <c r="A53" s="23"/>
      <c r="B53" s="24"/>
      <c r="C53" s="179"/>
      <c r="D53" s="179"/>
      <c r="E53" s="26"/>
      <c r="F53" s="91"/>
    </row>
    <row r="54" spans="1:7" ht="60" customHeight="1" x14ac:dyDescent="0.25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7" x14ac:dyDescent="0.25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29.25" customHeight="1" x14ac:dyDescent="0.25">
      <c r="A56" s="30" t="s">
        <v>27</v>
      </c>
      <c r="B56" s="31" t="s">
        <v>28</v>
      </c>
      <c r="C56" s="32">
        <f>C57+C58+C59+C60+C61+C63+C62</f>
        <v>1924.64084</v>
      </c>
      <c r="D56" s="176">
        <f>D57+D58+D59+D60+D61+D63+D62</f>
        <v>1770.5265400000001</v>
      </c>
      <c r="E56" s="34">
        <f>SUM(D56/C56*100)</f>
        <v>91.992568338100938</v>
      </c>
      <c r="F56" s="34">
        <f>SUM(D56-C56)</f>
        <v>-154.11429999999996</v>
      </c>
    </row>
    <row r="57" spans="1:7" s="6" customFormat="1" ht="31.5" hidden="1" x14ac:dyDescent="0.25">
      <c r="A57" s="35" t="s">
        <v>29</v>
      </c>
      <c r="B57" s="36" t="s">
        <v>30</v>
      </c>
      <c r="C57" s="37"/>
      <c r="D57" s="37"/>
      <c r="E57" s="38"/>
      <c r="F57" s="38"/>
    </row>
    <row r="58" spans="1:7" x14ac:dyDescent="0.25">
      <c r="A58" s="35" t="s">
        <v>31</v>
      </c>
      <c r="B58" s="39" t="s">
        <v>32</v>
      </c>
      <c r="C58" s="37">
        <v>1830.51</v>
      </c>
      <c r="D58" s="37">
        <v>1756.3957</v>
      </c>
      <c r="E58" s="38">
        <f t="shared" ref="E58:E98" si="3">SUM(D58/C58*100)</f>
        <v>95.951166614768567</v>
      </c>
      <c r="F58" s="38">
        <f t="shared" ref="F58:F98" si="4">SUM(D58-C58)</f>
        <v>-74.114299999999957</v>
      </c>
    </row>
    <row r="59" spans="1:7" ht="0.75" hidden="1" customHeight="1" x14ac:dyDescent="0.25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7" ht="31.5" hidden="1" customHeight="1" x14ac:dyDescent="0.25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x14ac:dyDescent="0.25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 x14ac:dyDescent="0.25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8.75" customHeight="1" x14ac:dyDescent="0.25">
      <c r="A63" s="35" t="s">
        <v>41</v>
      </c>
      <c r="B63" s="39" t="s">
        <v>42</v>
      </c>
      <c r="C63" s="37">
        <v>84.130840000000006</v>
      </c>
      <c r="D63" s="37">
        <v>14.130839999999999</v>
      </c>
      <c r="E63" s="38">
        <f t="shared" si="3"/>
        <v>16.796266386975333</v>
      </c>
      <c r="F63" s="38">
        <f t="shared" si="4"/>
        <v>-70</v>
      </c>
    </row>
    <row r="64" spans="1:7" s="6" customFormat="1" x14ac:dyDescent="0.25">
      <c r="A64" s="41" t="s">
        <v>43</v>
      </c>
      <c r="B64" s="42" t="s">
        <v>44</v>
      </c>
      <c r="C64" s="32">
        <f>C65</f>
        <v>266.97908999999999</v>
      </c>
      <c r="D64" s="32">
        <f>D65</f>
        <v>266.97908999999999</v>
      </c>
      <c r="E64" s="34">
        <f>SUM(D64/C64*100)</f>
        <v>100</v>
      </c>
      <c r="F64" s="34">
        <f t="shared" si="4"/>
        <v>0</v>
      </c>
    </row>
    <row r="65" spans="1:7" x14ac:dyDescent="0.25">
      <c r="A65" s="43" t="s">
        <v>45</v>
      </c>
      <c r="B65" s="44" t="s">
        <v>46</v>
      </c>
      <c r="C65" s="37">
        <v>266.97908999999999</v>
      </c>
      <c r="D65" s="37">
        <v>266.97908999999999</v>
      </c>
      <c r="E65" s="258">
        <f>SUM(D65/C65*100)</f>
        <v>100</v>
      </c>
      <c r="F65" s="38">
        <f t="shared" si="4"/>
        <v>0</v>
      </c>
    </row>
    <row r="66" spans="1:7" s="6" customFormat="1" ht="18" customHeight="1" x14ac:dyDescent="0.25">
      <c r="A66" s="30" t="s">
        <v>47</v>
      </c>
      <c r="B66" s="31" t="s">
        <v>48</v>
      </c>
      <c r="C66" s="32">
        <f>C69+C70+C71</f>
        <v>12.5</v>
      </c>
      <c r="D66" s="32">
        <f>D69+D70+D71</f>
        <v>11.87134</v>
      </c>
      <c r="E66" s="34">
        <f t="shared" si="3"/>
        <v>94.97072</v>
      </c>
      <c r="F66" s="34">
        <f t="shared" si="4"/>
        <v>-0.62866</v>
      </c>
    </row>
    <row r="67" spans="1:7" hidden="1" x14ac:dyDescent="0.25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 x14ac:dyDescent="0.25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 x14ac:dyDescent="0.25">
      <c r="A69" s="46" t="s">
        <v>53</v>
      </c>
      <c r="B69" s="47" t="s">
        <v>54</v>
      </c>
      <c r="C69" s="37">
        <v>3</v>
      </c>
      <c r="D69" s="37">
        <v>2.83134</v>
      </c>
      <c r="E69" s="34">
        <f t="shared" si="3"/>
        <v>94.378</v>
      </c>
      <c r="F69" s="34">
        <f t="shared" si="4"/>
        <v>-0.16866000000000003</v>
      </c>
    </row>
    <row r="70" spans="1:7" ht="15.75" customHeight="1" x14ac:dyDescent="0.25">
      <c r="A70" s="46" t="s">
        <v>210</v>
      </c>
      <c r="B70" s="47" t="s">
        <v>211</v>
      </c>
      <c r="C70" s="37">
        <v>7.5</v>
      </c>
      <c r="D70" s="37">
        <v>7.04</v>
      </c>
      <c r="E70" s="34">
        <f t="shared" si="3"/>
        <v>93.86666666666666</v>
      </c>
      <c r="F70" s="34">
        <f t="shared" si="4"/>
        <v>-0.45999999999999996</v>
      </c>
    </row>
    <row r="71" spans="1:7" ht="15.75" customHeight="1" x14ac:dyDescent="0.25">
      <c r="A71" s="46" t="s">
        <v>330</v>
      </c>
      <c r="B71" s="47" t="s">
        <v>385</v>
      </c>
      <c r="C71" s="37">
        <v>2</v>
      </c>
      <c r="D71" s="37">
        <v>2</v>
      </c>
      <c r="E71" s="34"/>
      <c r="F71" s="34"/>
    </row>
    <row r="72" spans="1:7" s="6" customFormat="1" ht="16.5" customHeight="1" x14ac:dyDescent="0.25">
      <c r="A72" s="30" t="s">
        <v>55</v>
      </c>
      <c r="B72" s="31" t="s">
        <v>56</v>
      </c>
      <c r="C72" s="48">
        <f>C73+C74+C75+C76</f>
        <v>6575.8638799999999</v>
      </c>
      <c r="D72" s="48">
        <f>SUM(D73:D76)</f>
        <v>6540.8638700000001</v>
      </c>
      <c r="E72" s="34">
        <f t="shared" si="3"/>
        <v>99.46775038780153</v>
      </c>
      <c r="F72" s="34">
        <f t="shared" si="4"/>
        <v>-35.000009999999747</v>
      </c>
    </row>
    <row r="73" spans="1:7" ht="15" customHeight="1" x14ac:dyDescent="0.25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5" customHeight="1" x14ac:dyDescent="0.25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 x14ac:dyDescent="0.25">
      <c r="A75" s="35" t="s">
        <v>61</v>
      </c>
      <c r="B75" s="39" t="s">
        <v>62</v>
      </c>
      <c r="C75" s="49">
        <v>5775.8638799999999</v>
      </c>
      <c r="D75" s="37">
        <v>5775.8638700000001</v>
      </c>
      <c r="E75" s="38">
        <f t="shared" si="3"/>
        <v>99.999999826865732</v>
      </c>
      <c r="F75" s="38">
        <f t="shared" si="4"/>
        <v>-9.9999997473787516E-6</v>
      </c>
    </row>
    <row r="76" spans="1:7" x14ac:dyDescent="0.25">
      <c r="A76" s="35" t="s">
        <v>63</v>
      </c>
      <c r="B76" s="39" t="s">
        <v>64</v>
      </c>
      <c r="C76" s="49">
        <v>800</v>
      </c>
      <c r="D76" s="37">
        <v>765</v>
      </c>
      <c r="E76" s="38">
        <f t="shared" si="3"/>
        <v>95.625</v>
      </c>
      <c r="F76" s="38">
        <f t="shared" si="4"/>
        <v>-35</v>
      </c>
    </row>
    <row r="77" spans="1:7" s="6" customFormat="1" ht="18" customHeight="1" x14ac:dyDescent="0.25">
      <c r="A77" s="30" t="s">
        <v>65</v>
      </c>
      <c r="B77" s="31" t="s">
        <v>66</v>
      </c>
      <c r="C77" s="32">
        <f>SUM(C78:C80)</f>
        <v>1271.33916</v>
      </c>
      <c r="D77" s="32">
        <f>SUM(D78:D80)</f>
        <v>1020.83318</v>
      </c>
      <c r="E77" s="34">
        <f t="shared" si="3"/>
        <v>80.295896808527473</v>
      </c>
      <c r="F77" s="34">
        <f t="shared" si="4"/>
        <v>-250.50598000000002</v>
      </c>
    </row>
    <row r="78" spans="1:7" ht="14.25" hidden="1" customHeight="1" x14ac:dyDescent="0.25">
      <c r="A78" s="35" t="s">
        <v>67</v>
      </c>
      <c r="B78" s="51" t="s">
        <v>68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 ht="17.25" customHeight="1" x14ac:dyDescent="0.25">
      <c r="A79" s="35" t="s">
        <v>69</v>
      </c>
      <c r="B79" s="51" t="s">
        <v>70</v>
      </c>
      <c r="C79" s="37">
        <v>310.24400000000003</v>
      </c>
      <c r="D79" s="37">
        <v>280.27269999999999</v>
      </c>
      <c r="E79" s="34">
        <f t="shared" si="3"/>
        <v>90.339442503319958</v>
      </c>
      <c r="F79" s="34">
        <f t="shared" si="4"/>
        <v>-29.971300000000042</v>
      </c>
    </row>
    <row r="80" spans="1:7" x14ac:dyDescent="0.25">
      <c r="A80" s="35" t="s">
        <v>71</v>
      </c>
      <c r="B80" s="39" t="s">
        <v>72</v>
      </c>
      <c r="C80" s="37">
        <v>961.09515999999996</v>
      </c>
      <c r="D80" s="37">
        <v>740.56047999999998</v>
      </c>
      <c r="E80" s="38">
        <f t="shared" si="3"/>
        <v>77.053814317408481</v>
      </c>
      <c r="F80" s="38">
        <f t="shared" si="4"/>
        <v>-220.53467999999998</v>
      </c>
    </row>
    <row r="81" spans="1:6" s="6" customFormat="1" x14ac:dyDescent="0.25">
      <c r="A81" s="30" t="s">
        <v>81</v>
      </c>
      <c r="B81" s="31" t="s">
        <v>82</v>
      </c>
      <c r="C81" s="32">
        <f>C82</f>
        <v>9821.1299999999992</v>
      </c>
      <c r="D81" s="32">
        <f>D82</f>
        <v>9760.19</v>
      </c>
      <c r="E81" s="34">
        <f>SUM(D81/C81*100)</f>
        <v>99.379501136834563</v>
      </c>
      <c r="F81" s="34">
        <f t="shared" si="4"/>
        <v>-60.93999999999869</v>
      </c>
    </row>
    <row r="82" spans="1:6" ht="15.75" customHeight="1" x14ac:dyDescent="0.25">
      <c r="A82" s="35" t="s">
        <v>83</v>
      </c>
      <c r="B82" s="39" t="s">
        <v>225</v>
      </c>
      <c r="C82" s="37">
        <v>9821.1299999999992</v>
      </c>
      <c r="D82" s="37">
        <v>9760.19</v>
      </c>
      <c r="E82" s="38">
        <f>SUM(D82/C82*100)</f>
        <v>99.379501136834563</v>
      </c>
      <c r="F82" s="38">
        <f t="shared" si="4"/>
        <v>-60.93999999999869</v>
      </c>
    </row>
    <row r="83" spans="1:6" s="6" customFormat="1" ht="1.5" hidden="1" customHeight="1" x14ac:dyDescent="0.25">
      <c r="A83" s="52">
        <v>1000</v>
      </c>
      <c r="B83" s="31" t="s">
        <v>84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7.25" hidden="1" customHeight="1" x14ac:dyDescent="0.25">
      <c r="A84" s="53">
        <v>1001</v>
      </c>
      <c r="B84" s="54" t="s">
        <v>85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 x14ac:dyDescent="0.25">
      <c r="A85" s="53">
        <v>1003</v>
      </c>
      <c r="B85" s="54" t="s">
        <v>86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7.25" hidden="1" customHeight="1" x14ac:dyDescent="0.25">
      <c r="A86" s="53">
        <v>1004</v>
      </c>
      <c r="B86" s="54" t="s">
        <v>87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7.25" hidden="1" customHeight="1" x14ac:dyDescent="0.25">
      <c r="A87" s="35" t="s">
        <v>88</v>
      </c>
      <c r="B87" s="39" t="s">
        <v>89</v>
      </c>
      <c r="C87" s="37">
        <v>0</v>
      </c>
      <c r="D87" s="37">
        <v>0</v>
      </c>
      <c r="E87" s="38"/>
      <c r="F87" s="38">
        <f t="shared" si="4"/>
        <v>0</v>
      </c>
    </row>
    <row r="88" spans="1:6" x14ac:dyDescent="0.25">
      <c r="A88" s="30" t="s">
        <v>90</v>
      </c>
      <c r="B88" s="31" t="s">
        <v>91</v>
      </c>
      <c r="C88" s="32">
        <f>C89+C90+C91+C92+C93</f>
        <v>15</v>
      </c>
      <c r="D88" s="32">
        <f>D89+D90+D91+D92+D93</f>
        <v>12.5</v>
      </c>
      <c r="E88" s="38">
        <f t="shared" si="3"/>
        <v>83.333333333333343</v>
      </c>
      <c r="F88" s="22">
        <f>F89+F90+F91+F92+F93</f>
        <v>-2.5</v>
      </c>
    </row>
    <row r="89" spans="1:6" ht="18.75" customHeight="1" x14ac:dyDescent="0.25">
      <c r="A89" s="35" t="s">
        <v>92</v>
      </c>
      <c r="B89" s="39" t="s">
        <v>93</v>
      </c>
      <c r="C89" s="37">
        <v>15</v>
      </c>
      <c r="D89" s="37">
        <v>12.5</v>
      </c>
      <c r="E89" s="38">
        <f t="shared" si="3"/>
        <v>83.333333333333343</v>
      </c>
      <c r="F89" s="38">
        <f>SUM(D89-C89)</f>
        <v>-2.5</v>
      </c>
    </row>
    <row r="90" spans="1:6" ht="15.75" hidden="1" customHeight="1" x14ac:dyDescent="0.25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 x14ac:dyDescent="0.25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/>
    </row>
    <row r="92" spans="1:6" ht="15.75" hidden="1" customHeight="1" x14ac:dyDescent="0.25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.75" hidden="1" customHeight="1" x14ac:dyDescent="0.25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s="6" customFormat="1" ht="16.5" hidden="1" customHeight="1" x14ac:dyDescent="0.25">
      <c r="A94" s="52">
        <v>1400</v>
      </c>
      <c r="B94" s="56" t="s">
        <v>109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0.75" hidden="1" customHeight="1" x14ac:dyDescent="0.25">
      <c r="A95" s="53">
        <v>1401</v>
      </c>
      <c r="B95" s="54" t="s">
        <v>110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9.5" hidden="1" customHeight="1" x14ac:dyDescent="0.25">
      <c r="A96" s="53">
        <v>1402</v>
      </c>
      <c r="B96" s="54" t="s">
        <v>111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hidden="1" customHeight="1" x14ac:dyDescent="0.25">
      <c r="A97" s="53">
        <v>1403</v>
      </c>
      <c r="B97" s="54" t="s">
        <v>112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5.75" customHeight="1" x14ac:dyDescent="0.25">
      <c r="A98" s="52"/>
      <c r="B98" s="57" t="s">
        <v>113</v>
      </c>
      <c r="C98" s="243">
        <f>C56+C64+C66+C72+C77+C81+C83+C88+C94</f>
        <v>19887.452969999998</v>
      </c>
      <c r="D98" s="243">
        <f>D56+D64+D66+D72+D77+D81+D83+D88+D94</f>
        <v>19383.764020000002</v>
      </c>
      <c r="E98" s="34">
        <f t="shared" si="3"/>
        <v>97.467302873023485</v>
      </c>
      <c r="F98" s="34">
        <f t="shared" si="4"/>
        <v>-503.68894999999611</v>
      </c>
      <c r="G98" s="193"/>
    </row>
    <row r="99" spans="1:7" ht="0.75" customHeight="1" x14ac:dyDescent="0.25">
      <c r="C99" s="124"/>
      <c r="D99" s="100"/>
    </row>
    <row r="100" spans="1:7" s="65" customFormat="1" ht="16.5" customHeight="1" x14ac:dyDescent="0.2">
      <c r="A100" s="63" t="s">
        <v>114</v>
      </c>
      <c r="B100" s="63"/>
      <c r="C100" s="178"/>
      <c r="D100" s="178"/>
    </row>
    <row r="101" spans="1:7" s="65" customFormat="1" ht="20.25" customHeight="1" x14ac:dyDescent="0.2">
      <c r="A101" s="66" t="s">
        <v>115</v>
      </c>
      <c r="B101" s="66"/>
      <c r="C101" s="65" t="s">
        <v>116</v>
      </c>
    </row>
    <row r="102" spans="1:7" ht="13.5" customHeight="1" x14ac:dyDescent="0.25">
      <c r="C102" s="118"/>
    </row>
    <row r="103" spans="1:7" ht="5.25" customHeight="1" x14ac:dyDescent="0.25"/>
    <row r="143" hidden="1" x14ac:dyDescent="0.25"/>
  </sheetData>
  <customSheetViews>
    <customSheetView guid="{4D5E6ACC-9055-4DE9-8C20-9052F3C35D19}" scale="70" showPageBreaks="1" hiddenRows="1" state="hidden" view="pageBreakPreview" topLeftCell="A34">
      <selection activeCell="D89" sqref="D89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5C539BE6-C8E0-453F-AB5E-9E58094195EA}" scale="70" showPageBreaks="1" hiddenRows="1" view="pageBreakPreview" topLeftCell="A37">
      <selection activeCell="C49" sqref="C49"/>
      <pageMargins left="0.70866141732283472" right="0.70866141732283472" top="0.74803149606299213" bottom="0.74803149606299213" header="0.31496062992125984" footer="0.31496062992125984"/>
      <pageSetup paperSize="9" scale="56" orientation="portrait" r:id="rId2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4"/>
    </customSheetView>
    <customSheetView guid="{1A52382B-3765-4E8C-903F-6B8919B7242E}" scale="70" showPageBreaks="1" hiddenRows="1" view="pageBreakPreview" topLeftCell="A44">
      <selection activeCell="G99" sqref="G99"/>
      <pageMargins left="0.7" right="0.7" top="0.75" bottom="0.75" header="0.3" footer="0.3"/>
      <pageSetup paperSize="9" scale="49" orientation="portrait" r:id="rId5"/>
    </customSheetView>
    <customSheetView guid="{B31C8DB7-3E78-4144-A6B5-8DE36DE63F0E}" hiddenRows="1" topLeftCell="A26">
      <selection activeCell="D49" sqref="D49"/>
      <pageMargins left="0.7" right="0.7" top="0.75" bottom="0.75" header="0.3" footer="0.3"/>
      <pageSetup paperSize="9" scale="49" orientation="portrait" r:id="rId6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7"/>
    </customSheetView>
    <customSheetView guid="{B30CE22D-C12F-4E12-8BB9-3AAE0A6991CC}" scale="70" showPageBreaks="1" hiddenRows="1" view="pageBreakPreview" topLeftCell="A28">
      <selection activeCell="D98" sqref="D98"/>
      <pageMargins left="0.70866141732283472" right="0.70866141732283472" top="0.74803149606299213" bottom="0.74803149606299213" header="0.31496062992125984" footer="0.31496062992125984"/>
      <pageSetup paperSize="9" scale="59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0" orientation="portrait" r:id="rId9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10"/>
    </customSheetView>
    <customSheetView guid="{F85EE840-0C31-454A-8951-832C2E9E0600}" scale="70" showPageBreaks="1" hiddenRows="1" state="hidden" view="pageBreakPreview" topLeftCell="A37">
      <selection activeCell="C69" sqref="C69"/>
      <pageMargins left="0.70866141732283472" right="0.70866141732283472" top="0.74803149606299213" bottom="0.74803149606299213" header="0.31496062992125984" footer="0.31496062992125984"/>
      <pageSetup paperSize="9" scale="56" orientation="portrait" r:id="rId11"/>
    </customSheetView>
    <customSheetView guid="{F1E84C44-1ACD-474A-BDE0-C7088DB6C590}" scale="70" showPageBreaks="1" hiddenRows="1" state="hidden" view="pageBreakPreview" topLeftCell="A34">
      <selection activeCell="D89" sqref="D89"/>
      <pageMargins left="0.70866141732283472" right="0.70866141732283472" top="0.74803149606299213" bottom="0.74803149606299213" header="0.31496062992125984" footer="0.31496062992125984"/>
      <pageSetup paperSize="9" scale="56" orientation="portrait" r:id="rId12"/>
    </customSheetView>
    <customSheetView guid="{61528DAC-5C4C-48F4-ADE2-8A724B05A086}" scale="70" showPageBreaks="1" hiddenRows="1" state="hidden" view="pageBreakPreview" topLeftCell="A34">
      <selection activeCell="D89" sqref="D89"/>
      <pageMargins left="0.70866141732283472" right="0.70866141732283472" top="0.74803149606299213" bottom="0.74803149606299213" header="0.31496062992125984" footer="0.31496062992125984"/>
      <pageSetup paperSize="9" scale="56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H142"/>
  <sheetViews>
    <sheetView view="pageBreakPreview" topLeftCell="A31" zoomScale="70" zoomScaleNormal="100" zoomScaleSheetLayoutView="70" workbookViewId="0">
      <selection activeCell="C77" sqref="C77"/>
    </sheetView>
  </sheetViews>
  <sheetFormatPr defaultRowHeight="15.75" x14ac:dyDescent="0.2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 x14ac:dyDescent="0.25">
      <c r="A1" s="599" t="s">
        <v>417</v>
      </c>
      <c r="B1" s="599"/>
      <c r="C1" s="599"/>
      <c r="D1" s="599"/>
      <c r="E1" s="599"/>
      <c r="F1" s="599"/>
    </row>
    <row r="2" spans="1:6" x14ac:dyDescent="0.25">
      <c r="A2" s="599"/>
      <c r="B2" s="599"/>
      <c r="C2" s="599"/>
      <c r="D2" s="599"/>
      <c r="E2" s="599"/>
      <c r="F2" s="599"/>
    </row>
    <row r="3" spans="1:6" ht="63" x14ac:dyDescent="0.25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 x14ac:dyDescent="0.25">
      <c r="A4" s="3"/>
      <c r="B4" s="4" t="s">
        <v>4</v>
      </c>
      <c r="C4" s="5">
        <f>C5+C12+C14+C17+C20+C7</f>
        <v>1837.2266399999999</v>
      </c>
      <c r="D4" s="5">
        <f>D5+D12+D14+D17+D20+D7</f>
        <v>1876.6090900000002</v>
      </c>
      <c r="E4" s="5">
        <f>SUM(D4/C4*100)</f>
        <v>102.14358147996374</v>
      </c>
      <c r="F4" s="5">
        <f>SUM(D4-C4)</f>
        <v>39.38245000000029</v>
      </c>
    </row>
    <row r="5" spans="1:6" s="6" customFormat="1" x14ac:dyDescent="0.25">
      <c r="A5" s="68">
        <v>1010000000</v>
      </c>
      <c r="B5" s="67" t="s">
        <v>5</v>
      </c>
      <c r="C5" s="5">
        <f>C6</f>
        <v>159</v>
      </c>
      <c r="D5" s="5">
        <f>D6</f>
        <v>173.74345</v>
      </c>
      <c r="E5" s="5">
        <f t="shared" ref="E5:E51" si="0">SUM(D5/C5*100)</f>
        <v>109.27261006289308</v>
      </c>
      <c r="F5" s="5">
        <f t="shared" ref="F5:F51" si="1">SUM(D5-C5)</f>
        <v>14.743449999999996</v>
      </c>
    </row>
    <row r="6" spans="1:6" x14ac:dyDescent="0.25">
      <c r="A6" s="7">
        <v>1010200001</v>
      </c>
      <c r="B6" s="8" t="s">
        <v>220</v>
      </c>
      <c r="C6" s="9">
        <v>159</v>
      </c>
      <c r="D6" s="10">
        <v>173.74345</v>
      </c>
      <c r="E6" s="9">
        <f t="shared" ref="E6:E11" si="2">SUM(D6/C6*100)</f>
        <v>109.27261006289308</v>
      </c>
      <c r="F6" s="9">
        <f t="shared" si="1"/>
        <v>14.743449999999996</v>
      </c>
    </row>
    <row r="7" spans="1:6" ht="31.5" x14ac:dyDescent="0.25">
      <c r="A7" s="3">
        <v>1030000000</v>
      </c>
      <c r="B7" s="13" t="s">
        <v>259</v>
      </c>
      <c r="C7" s="5">
        <f>C8+C10+C9</f>
        <v>938.22663999999997</v>
      </c>
      <c r="D7" s="5">
        <f>D8+D10+D9+D11</f>
        <v>1084.23377</v>
      </c>
      <c r="E7" s="5">
        <f t="shared" si="2"/>
        <v>115.56203200540118</v>
      </c>
      <c r="F7" s="5">
        <f t="shared" si="1"/>
        <v>146.00713000000007</v>
      </c>
    </row>
    <row r="8" spans="1:6" x14ac:dyDescent="0.25">
      <c r="A8" s="7">
        <v>1030223001</v>
      </c>
      <c r="B8" s="8" t="s">
        <v>261</v>
      </c>
      <c r="C8" s="9">
        <v>363.20564000000002</v>
      </c>
      <c r="D8" s="10">
        <v>543.53403000000003</v>
      </c>
      <c r="E8" s="9">
        <f t="shared" si="2"/>
        <v>149.64911613156667</v>
      </c>
      <c r="F8" s="9">
        <f t="shared" si="1"/>
        <v>180.32839000000001</v>
      </c>
    </row>
    <row r="9" spans="1:6" x14ac:dyDescent="0.25">
      <c r="A9" s="7">
        <v>1030224001</v>
      </c>
      <c r="B9" s="8" t="s">
        <v>267</v>
      </c>
      <c r="C9" s="9">
        <v>3.6680000000000001</v>
      </c>
      <c r="D9" s="10">
        <v>2.9359299999999999</v>
      </c>
      <c r="E9" s="9">
        <f>SUM(D9/C9*100)</f>
        <v>80.041712104689196</v>
      </c>
      <c r="F9" s="9">
        <f t="shared" si="1"/>
        <v>-0.73207000000000022</v>
      </c>
    </row>
    <row r="10" spans="1:6" x14ac:dyDescent="0.25">
      <c r="A10" s="7">
        <v>1030225001</v>
      </c>
      <c r="B10" s="8" t="s">
        <v>260</v>
      </c>
      <c r="C10" s="9">
        <v>571.35299999999995</v>
      </c>
      <c r="D10" s="10">
        <v>600.12294999999995</v>
      </c>
      <c r="E10" s="9">
        <f t="shared" si="2"/>
        <v>105.0354071825999</v>
      </c>
      <c r="F10" s="9">
        <f t="shared" si="1"/>
        <v>28.769949999999994</v>
      </c>
    </row>
    <row r="11" spans="1:6" x14ac:dyDescent="0.25">
      <c r="A11" s="7">
        <v>1030226001</v>
      </c>
      <c r="B11" s="8" t="s">
        <v>269</v>
      </c>
      <c r="C11" s="9">
        <v>0</v>
      </c>
      <c r="D11" s="10">
        <v>-62.359139999999996</v>
      </c>
      <c r="E11" s="9" t="e">
        <f t="shared" si="2"/>
        <v>#DIV/0!</v>
      </c>
      <c r="F11" s="9">
        <f t="shared" si="1"/>
        <v>-62.359139999999996</v>
      </c>
    </row>
    <row r="12" spans="1:6" s="6" customFormat="1" x14ac:dyDescent="0.25">
      <c r="A12" s="68">
        <v>1050000000</v>
      </c>
      <c r="B12" s="67" t="s">
        <v>6</v>
      </c>
      <c r="C12" s="5">
        <f>SUM(C13:C13)</f>
        <v>30</v>
      </c>
      <c r="D12" s="5">
        <f>SUM(D13:D13)</f>
        <v>5.9820000000000002</v>
      </c>
      <c r="E12" s="5">
        <f t="shared" si="0"/>
        <v>19.939999999999998</v>
      </c>
      <c r="F12" s="5">
        <f t="shared" si="1"/>
        <v>-24.018000000000001</v>
      </c>
    </row>
    <row r="13" spans="1:6" ht="15.75" customHeight="1" x14ac:dyDescent="0.25">
      <c r="A13" s="7">
        <v>1050300000</v>
      </c>
      <c r="B13" s="11" t="s">
        <v>221</v>
      </c>
      <c r="C13" s="12">
        <v>30</v>
      </c>
      <c r="D13" s="10">
        <v>5.9820000000000002</v>
      </c>
      <c r="E13" s="9">
        <f t="shared" si="0"/>
        <v>19.939999999999998</v>
      </c>
      <c r="F13" s="9">
        <f t="shared" si="1"/>
        <v>-24.018000000000001</v>
      </c>
    </row>
    <row r="14" spans="1:6" s="6" customFormat="1" ht="15.75" customHeight="1" x14ac:dyDescent="0.25">
      <c r="A14" s="68">
        <v>1060000000</v>
      </c>
      <c r="B14" s="67" t="s">
        <v>129</v>
      </c>
      <c r="C14" s="5">
        <f>C15+C16</f>
        <v>702</v>
      </c>
      <c r="D14" s="5">
        <f>D15+D16</f>
        <v>606.54987000000006</v>
      </c>
      <c r="E14" s="5">
        <f t="shared" si="0"/>
        <v>86.40311538461539</v>
      </c>
      <c r="F14" s="5">
        <f t="shared" si="1"/>
        <v>-95.450129999999945</v>
      </c>
    </row>
    <row r="15" spans="1:6" s="6" customFormat="1" ht="15.75" customHeight="1" x14ac:dyDescent="0.25">
      <c r="A15" s="7">
        <v>1060100000</v>
      </c>
      <c r="B15" s="11" t="s">
        <v>8</v>
      </c>
      <c r="C15" s="9">
        <v>247</v>
      </c>
      <c r="D15" s="10">
        <v>179.51551000000001</v>
      </c>
      <c r="E15" s="9">
        <f t="shared" si="0"/>
        <v>72.67834412955466</v>
      </c>
      <c r="F15" s="9">
        <f>SUM(D15-C15)</f>
        <v>-67.484489999999994</v>
      </c>
    </row>
    <row r="16" spans="1:6" ht="15.75" customHeight="1" x14ac:dyDescent="0.25">
      <c r="A16" s="7">
        <v>1060600000</v>
      </c>
      <c r="B16" s="11" t="s">
        <v>7</v>
      </c>
      <c r="C16" s="9">
        <v>455</v>
      </c>
      <c r="D16" s="10">
        <v>427.03435999999999</v>
      </c>
      <c r="E16" s="9">
        <f t="shared" si="0"/>
        <v>93.85370549450549</v>
      </c>
      <c r="F16" s="9">
        <f t="shared" si="1"/>
        <v>-27.965640000000008</v>
      </c>
    </row>
    <row r="17" spans="1:6" s="6" customFormat="1" x14ac:dyDescent="0.25">
      <c r="A17" s="3">
        <v>1080000000</v>
      </c>
      <c r="B17" s="4" t="s">
        <v>10</v>
      </c>
      <c r="C17" s="5">
        <f>C18</f>
        <v>8</v>
      </c>
      <c r="D17" s="5">
        <f>D18</f>
        <v>6.1</v>
      </c>
      <c r="E17" s="5">
        <f t="shared" si="0"/>
        <v>76.25</v>
      </c>
      <c r="F17" s="5">
        <f t="shared" si="1"/>
        <v>-1.9000000000000004</v>
      </c>
    </row>
    <row r="18" spans="1:6" ht="17.25" customHeight="1" x14ac:dyDescent="0.25">
      <c r="A18" s="7">
        <v>1080400001</v>
      </c>
      <c r="B18" s="8" t="s">
        <v>219</v>
      </c>
      <c r="C18" s="9">
        <v>8</v>
      </c>
      <c r="D18" s="10">
        <v>6.1</v>
      </c>
      <c r="E18" s="9">
        <f t="shared" si="0"/>
        <v>76.25</v>
      </c>
      <c r="F18" s="9">
        <f t="shared" si="1"/>
        <v>-1.9000000000000004</v>
      </c>
    </row>
    <row r="19" spans="1:6" ht="15.75" hidden="1" customHeight="1" x14ac:dyDescent="0.25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 x14ac:dyDescent="0.25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 x14ac:dyDescent="0.25">
      <c r="A21" s="7">
        <v>1090100000</v>
      </c>
      <c r="B21" s="8" t="s">
        <v>118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 x14ac:dyDescent="0.25">
      <c r="A22" s="7">
        <v>1090400000</v>
      </c>
      <c r="B22" s="8" t="s">
        <v>224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 x14ac:dyDescent="0.25">
      <c r="A23" s="7">
        <v>1090600000</v>
      </c>
      <c r="B23" s="8" t="s">
        <v>120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 x14ac:dyDescent="0.25">
      <c r="A24" s="7">
        <v>1090700000</v>
      </c>
      <c r="B24" s="8" t="s">
        <v>326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 x14ac:dyDescent="0.25">
      <c r="A25" s="3"/>
      <c r="B25" s="4" t="s">
        <v>12</v>
      </c>
      <c r="C25" s="5">
        <f>C26+C29+C32+C37+C35</f>
        <v>1036.78856</v>
      </c>
      <c r="D25" s="5">
        <f>D26+D29+D32+D37+D35</f>
        <v>1680.9267699999998</v>
      </c>
      <c r="E25" s="5">
        <f t="shared" si="0"/>
        <v>162.12821349031859</v>
      </c>
      <c r="F25" s="5">
        <f t="shared" si="1"/>
        <v>644.13820999999984</v>
      </c>
    </row>
    <row r="26" spans="1:6" s="6" customFormat="1" ht="30" customHeight="1" x14ac:dyDescent="0.25">
      <c r="A26" s="68">
        <v>1110000000</v>
      </c>
      <c r="B26" s="69" t="s">
        <v>122</v>
      </c>
      <c r="C26" s="5">
        <f>C27+C28</f>
        <v>350</v>
      </c>
      <c r="D26" s="5">
        <f>D27+D28</f>
        <v>568.55408</v>
      </c>
      <c r="E26" s="5">
        <f t="shared" si="0"/>
        <v>162.44402285714287</v>
      </c>
      <c r="F26" s="5">
        <f t="shared" si="1"/>
        <v>218.55408</v>
      </c>
    </row>
    <row r="27" spans="1:6" x14ac:dyDescent="0.25">
      <c r="A27" s="16">
        <v>1110502510</v>
      </c>
      <c r="B27" s="17" t="s">
        <v>217</v>
      </c>
      <c r="C27" s="12">
        <v>320</v>
      </c>
      <c r="D27" s="10">
        <v>488.11329999999998</v>
      </c>
      <c r="E27" s="9">
        <f t="shared" si="0"/>
        <v>152.53540624999999</v>
      </c>
      <c r="F27" s="9">
        <f t="shared" si="1"/>
        <v>168.11329999999998</v>
      </c>
    </row>
    <row r="28" spans="1:6" ht="18" customHeight="1" x14ac:dyDescent="0.25">
      <c r="A28" s="7">
        <v>1110503505</v>
      </c>
      <c r="B28" s="11" t="s">
        <v>216</v>
      </c>
      <c r="C28" s="12">
        <v>30</v>
      </c>
      <c r="D28" s="10">
        <v>80.440780000000004</v>
      </c>
      <c r="E28" s="9">
        <f t="shared" si="0"/>
        <v>268.13593333333336</v>
      </c>
      <c r="F28" s="9">
        <f t="shared" si="1"/>
        <v>50.440780000000004</v>
      </c>
    </row>
    <row r="29" spans="1:6" s="15" customFormat="1" ht="18" customHeight="1" x14ac:dyDescent="0.25">
      <c r="A29" s="68">
        <v>1130000000</v>
      </c>
      <c r="B29" s="69" t="s">
        <v>124</v>
      </c>
      <c r="C29" s="5">
        <f>C30+C31</f>
        <v>130</v>
      </c>
      <c r="D29" s="5">
        <f>D30+D31</f>
        <v>137.39689000000001</v>
      </c>
      <c r="E29" s="5">
        <f t="shared" si="0"/>
        <v>105.68991538461539</v>
      </c>
      <c r="F29" s="5">
        <f t="shared" si="1"/>
        <v>7.3968900000000133</v>
      </c>
    </row>
    <row r="30" spans="1:6" ht="15.75" customHeight="1" x14ac:dyDescent="0.25">
      <c r="A30" s="7">
        <v>1130206510</v>
      </c>
      <c r="B30" s="8" t="s">
        <v>313</v>
      </c>
      <c r="C30" s="9">
        <v>130</v>
      </c>
      <c r="D30" s="204">
        <v>75.796890000000005</v>
      </c>
      <c r="E30" s="9">
        <f t="shared" si="0"/>
        <v>58.305300000000003</v>
      </c>
      <c r="F30" s="9">
        <f t="shared" si="1"/>
        <v>-54.203109999999995</v>
      </c>
    </row>
    <row r="31" spans="1:6" ht="17.25" customHeight="1" x14ac:dyDescent="0.25">
      <c r="A31" s="7">
        <v>1130299510</v>
      </c>
      <c r="B31" s="8" t="s">
        <v>327</v>
      </c>
      <c r="C31" s="9">
        <v>0</v>
      </c>
      <c r="D31" s="204">
        <v>61.6</v>
      </c>
      <c r="E31" s="9" t="e">
        <f>SUM(D31/C31*100)</f>
        <v>#DIV/0!</v>
      </c>
      <c r="F31" s="9">
        <f>SUM(D31-C31)</f>
        <v>61.6</v>
      </c>
    </row>
    <row r="32" spans="1:6" ht="15.75" customHeight="1" x14ac:dyDescent="0.25">
      <c r="A32" s="70">
        <v>1140000000</v>
      </c>
      <c r="B32" s="71" t="s">
        <v>125</v>
      </c>
      <c r="C32" s="5">
        <f>C33+C34</f>
        <v>32.252499999999998</v>
      </c>
      <c r="D32" s="5">
        <f>D33+D34</f>
        <v>32.252499999999998</v>
      </c>
      <c r="E32" s="5">
        <f t="shared" si="0"/>
        <v>100</v>
      </c>
      <c r="F32" s="5">
        <f t="shared" si="1"/>
        <v>0</v>
      </c>
    </row>
    <row r="33" spans="1:7" ht="15.75" customHeight="1" x14ac:dyDescent="0.25">
      <c r="A33" s="16">
        <v>1140200000</v>
      </c>
      <c r="B33" s="18" t="s">
        <v>126</v>
      </c>
      <c r="C33" s="9">
        <v>32.252499999999998</v>
      </c>
      <c r="D33" s="10">
        <v>32.252499999999998</v>
      </c>
      <c r="E33" s="9">
        <f t="shared" si="0"/>
        <v>100</v>
      </c>
      <c r="F33" s="9">
        <f t="shared" si="1"/>
        <v>0</v>
      </c>
    </row>
    <row r="34" spans="1:7" ht="18" customHeight="1" x14ac:dyDescent="0.25">
      <c r="A34" s="7">
        <v>1140600000</v>
      </c>
      <c r="B34" s="8" t="s">
        <v>214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8" customHeight="1" x14ac:dyDescent="0.25">
      <c r="A35" s="3">
        <v>1160000000</v>
      </c>
      <c r="B35" s="13" t="s">
        <v>236</v>
      </c>
      <c r="C35" s="14">
        <f>C36</f>
        <v>10.63425</v>
      </c>
      <c r="D35" s="14">
        <f>D36</f>
        <v>27.535329999999998</v>
      </c>
      <c r="E35" s="5">
        <f>SUM(D35/C35*100)</f>
        <v>258.93062510285165</v>
      </c>
      <c r="F35" s="5">
        <f>SUM(D35-C35)</f>
        <v>16.90108</v>
      </c>
    </row>
    <row r="36" spans="1:7" ht="35.25" customHeight="1" x14ac:dyDescent="0.25">
      <c r="A36" s="7">
        <v>1160701010</v>
      </c>
      <c r="B36" s="8" t="s">
        <v>404</v>
      </c>
      <c r="C36" s="9">
        <v>10.63425</v>
      </c>
      <c r="D36" s="10">
        <v>27.535329999999998</v>
      </c>
      <c r="E36" s="9">
        <f>SUM(D36/C36*100)</f>
        <v>258.93062510285165</v>
      </c>
      <c r="F36" s="9">
        <f>SUM(D36-C36)</f>
        <v>16.90108</v>
      </c>
    </row>
    <row r="37" spans="1:7" ht="15.75" customHeight="1" x14ac:dyDescent="0.25">
      <c r="A37" s="3"/>
      <c r="B37" s="13" t="s">
        <v>128</v>
      </c>
      <c r="C37" s="5">
        <f>C38+C39</f>
        <v>513.90180999999995</v>
      </c>
      <c r="D37" s="5">
        <f>D38+D39</f>
        <v>915.18796999999995</v>
      </c>
      <c r="E37" s="5">
        <f t="shared" si="0"/>
        <v>178.08615424024291</v>
      </c>
      <c r="F37" s="5">
        <f t="shared" si="1"/>
        <v>401.28616</v>
      </c>
    </row>
    <row r="38" spans="1:7" ht="16.5" customHeight="1" x14ac:dyDescent="0.25">
      <c r="A38" s="7">
        <v>1171503010</v>
      </c>
      <c r="B38" s="11" t="s">
        <v>406</v>
      </c>
      <c r="C38" s="9">
        <v>513.90180999999995</v>
      </c>
      <c r="D38" s="9">
        <v>915.18796999999995</v>
      </c>
      <c r="E38" s="9">
        <f t="shared" si="0"/>
        <v>178.08615424024291</v>
      </c>
      <c r="F38" s="9">
        <f t="shared" si="1"/>
        <v>401.28616</v>
      </c>
    </row>
    <row r="39" spans="1:7" ht="16.5" hidden="1" customHeight="1" x14ac:dyDescent="0.25">
      <c r="A39" s="7">
        <v>1170505005</v>
      </c>
      <c r="B39" s="11" t="s">
        <v>212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 x14ac:dyDescent="0.25">
      <c r="A40" s="3">
        <v>1000000000</v>
      </c>
      <c r="B40" s="4" t="s">
        <v>16</v>
      </c>
      <c r="C40" s="125">
        <f>SUM(C4,C25)</f>
        <v>2874.0151999999998</v>
      </c>
      <c r="D40" s="125">
        <f>D4+D25</f>
        <v>3557.53586</v>
      </c>
      <c r="E40" s="5">
        <f t="shared" si="0"/>
        <v>123.7827781843325</v>
      </c>
      <c r="F40" s="5">
        <f t="shared" si="1"/>
        <v>683.52066000000013</v>
      </c>
    </row>
    <row r="41" spans="1:7" s="6" customFormat="1" x14ac:dyDescent="0.25">
      <c r="A41" s="3">
        <v>2000000000</v>
      </c>
      <c r="B41" s="4" t="s">
        <v>17</v>
      </c>
      <c r="C41" s="224">
        <f>C42+C43+C44+C45+C46+C48</f>
        <v>8452.049579999999</v>
      </c>
      <c r="D41" s="224">
        <f>D42+D43+D44+D45+D46+D48+D49</f>
        <v>8452.0170199999993</v>
      </c>
      <c r="E41" s="5">
        <f t="shared" si="0"/>
        <v>99.999614767995723</v>
      </c>
      <c r="F41" s="5">
        <f t="shared" si="1"/>
        <v>-3.2559999999648426E-2</v>
      </c>
      <c r="G41" s="19"/>
    </row>
    <row r="42" spans="1:7" ht="14.25" customHeight="1" x14ac:dyDescent="0.25">
      <c r="A42" s="16">
        <v>2021000000</v>
      </c>
      <c r="B42" s="17" t="s">
        <v>18</v>
      </c>
      <c r="C42" s="98">
        <v>2338.6999999999998</v>
      </c>
      <c r="D42" s="98">
        <v>2338.6999999999998</v>
      </c>
      <c r="E42" s="9">
        <f t="shared" si="0"/>
        <v>100</v>
      </c>
      <c r="F42" s="9">
        <f t="shared" si="1"/>
        <v>0</v>
      </c>
    </row>
    <row r="43" spans="1:7" ht="15.75" hidden="1" customHeight="1" x14ac:dyDescent="0.25">
      <c r="A43" s="16">
        <v>2021500200</v>
      </c>
      <c r="B43" s="17" t="s">
        <v>223</v>
      </c>
      <c r="C43" s="98"/>
      <c r="D43" s="20">
        <v>0</v>
      </c>
      <c r="E43" s="9" t="e">
        <f>SUM(D43/C43*100)</f>
        <v>#DIV/0!</v>
      </c>
      <c r="F43" s="9">
        <f>SUM(D43-C43)</f>
        <v>0</v>
      </c>
    </row>
    <row r="44" spans="1:7" x14ac:dyDescent="0.25">
      <c r="A44" s="16">
        <v>2022000000</v>
      </c>
      <c r="B44" s="17" t="s">
        <v>19</v>
      </c>
      <c r="C44" s="98">
        <v>4937.9274500000001</v>
      </c>
      <c r="D44" s="10">
        <v>4937.9274500000001</v>
      </c>
      <c r="E44" s="9">
        <f t="shared" si="0"/>
        <v>100</v>
      </c>
      <c r="F44" s="9">
        <f t="shared" si="1"/>
        <v>0</v>
      </c>
    </row>
    <row r="45" spans="1:7" ht="18" customHeight="1" x14ac:dyDescent="0.25">
      <c r="A45" s="16">
        <v>2023000000</v>
      </c>
      <c r="B45" s="17" t="s">
        <v>20</v>
      </c>
      <c r="C45" s="12">
        <v>110.18913000000001</v>
      </c>
      <c r="D45" s="180">
        <v>110.18913000000001</v>
      </c>
      <c r="E45" s="9">
        <f t="shared" si="0"/>
        <v>100</v>
      </c>
      <c r="F45" s="9">
        <f t="shared" si="1"/>
        <v>0</v>
      </c>
    </row>
    <row r="46" spans="1:7" ht="19.5" customHeight="1" x14ac:dyDescent="0.25">
      <c r="A46" s="16">
        <v>2020400000</v>
      </c>
      <c r="B46" s="17" t="s">
        <v>21</v>
      </c>
      <c r="C46" s="12">
        <v>1065.2329999999999</v>
      </c>
      <c r="D46" s="181">
        <v>1065.2004400000001</v>
      </c>
      <c r="E46" s="9">
        <f t="shared" si="0"/>
        <v>99.996943391727456</v>
      </c>
      <c r="F46" s="9">
        <f t="shared" si="1"/>
        <v>-3.2559999999875799E-2</v>
      </c>
    </row>
    <row r="47" spans="1:7" ht="32.25" hidden="1" customHeight="1" x14ac:dyDescent="0.25">
      <c r="A47" s="16">
        <v>2020900000</v>
      </c>
      <c r="B47" s="18" t="s">
        <v>22</v>
      </c>
      <c r="C47" s="12">
        <v>0</v>
      </c>
      <c r="D47" s="181">
        <v>0</v>
      </c>
      <c r="E47" s="9" t="e">
        <f t="shared" si="0"/>
        <v>#DIV/0!</v>
      </c>
      <c r="F47" s="9">
        <f t="shared" si="1"/>
        <v>0</v>
      </c>
    </row>
    <row r="48" spans="1:7" ht="21" customHeight="1" x14ac:dyDescent="0.25">
      <c r="A48" s="16">
        <v>2070500010</v>
      </c>
      <c r="B48" s="8" t="s">
        <v>325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8" ht="21.75" hidden="1" customHeight="1" x14ac:dyDescent="0.25">
      <c r="A49" s="7">
        <v>2190500005</v>
      </c>
      <c r="B49" s="11" t="s">
        <v>23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s="6" customFormat="1" ht="20.25" customHeight="1" x14ac:dyDescent="0.25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 x14ac:dyDescent="0.25">
      <c r="A51" s="3"/>
      <c r="B51" s="4" t="s">
        <v>25</v>
      </c>
      <c r="C51" s="240">
        <f>C40+C41</f>
        <v>11326.064779999999</v>
      </c>
      <c r="D51" s="240">
        <f>D40+D41</f>
        <v>12009.552879999999</v>
      </c>
      <c r="E51" s="92">
        <f t="shared" si="0"/>
        <v>106.0346476316022</v>
      </c>
      <c r="F51" s="92">
        <f t="shared" si="1"/>
        <v>683.48810000000049</v>
      </c>
      <c r="G51" s="193">
        <f>7662.29943-C51</f>
        <v>-3663.7653499999988</v>
      </c>
      <c r="H51" s="193">
        <f>1130.4405-D51</f>
        <v>-10879.112379999999</v>
      </c>
    </row>
    <row r="52" spans="1:8" s="6" customFormat="1" x14ac:dyDescent="0.25">
      <c r="A52" s="3"/>
      <c r="B52" s="21" t="s">
        <v>299</v>
      </c>
      <c r="C52" s="92">
        <f>C51-C98</f>
        <v>-530.02748000000065</v>
      </c>
      <c r="D52" s="92">
        <f>D51-D98</f>
        <v>349.77110999999968</v>
      </c>
      <c r="E52" s="188"/>
      <c r="F52" s="188"/>
    </row>
    <row r="53" spans="1:8" x14ac:dyDescent="0.25">
      <c r="A53" s="23"/>
      <c r="B53" s="24"/>
      <c r="C53" s="179"/>
      <c r="D53" s="179"/>
      <c r="E53" s="26"/>
      <c r="F53" s="27"/>
    </row>
    <row r="54" spans="1:8" ht="45" customHeight="1" x14ac:dyDescent="0.25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8" x14ac:dyDescent="0.25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8" customHeight="1" x14ac:dyDescent="0.25">
      <c r="A56" s="30" t="s">
        <v>27</v>
      </c>
      <c r="B56" s="31" t="s">
        <v>28</v>
      </c>
      <c r="C56" s="32">
        <f>C57+C58+C59+C60+C61+C63+C62</f>
        <v>1352.6250599999998</v>
      </c>
      <c r="D56" s="33">
        <f>D57+D58+D59+D60+D61+D63+D62</f>
        <v>1336.08367</v>
      </c>
      <c r="E56" s="34">
        <f>SUM(D56/C56*100)</f>
        <v>98.777089787172812</v>
      </c>
      <c r="F56" s="34">
        <f>SUM(D56-C56)</f>
        <v>-16.541389999999865</v>
      </c>
    </row>
    <row r="57" spans="1:8" s="6" customFormat="1" ht="31.5" hidden="1" x14ac:dyDescent="0.25">
      <c r="A57" s="35" t="s">
        <v>29</v>
      </c>
      <c r="B57" s="36" t="s">
        <v>30</v>
      </c>
      <c r="C57" s="37"/>
      <c r="D57" s="37"/>
      <c r="E57" s="38"/>
      <c r="F57" s="38"/>
    </row>
    <row r="58" spans="1:8" ht="18.75" customHeight="1" x14ac:dyDescent="0.25">
      <c r="A58" s="35" t="s">
        <v>31</v>
      </c>
      <c r="B58" s="39" t="s">
        <v>32</v>
      </c>
      <c r="C58" s="37">
        <v>1347.6690599999999</v>
      </c>
      <c r="D58" s="37">
        <v>1332.1276700000001</v>
      </c>
      <c r="E58" s="38">
        <f t="shared" ref="E58:E98" si="3">SUM(D58/C58*100)</f>
        <v>98.846794776159669</v>
      </c>
      <c r="F58" s="38">
        <f t="shared" ref="F58:F98" si="4">SUM(D58-C58)</f>
        <v>-15.541389999999865</v>
      </c>
    </row>
    <row r="59" spans="1:8" ht="0.75" hidden="1" customHeight="1" x14ac:dyDescent="0.25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 x14ac:dyDescent="0.25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0.75" customHeight="1" x14ac:dyDescent="0.25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 x14ac:dyDescent="0.25">
      <c r="A62" s="35" t="s">
        <v>39</v>
      </c>
      <c r="B62" s="39" t="s">
        <v>40</v>
      </c>
      <c r="C62" s="40">
        <v>1</v>
      </c>
      <c r="D62" s="40">
        <v>0</v>
      </c>
      <c r="E62" s="38">
        <f t="shared" si="3"/>
        <v>0</v>
      </c>
      <c r="F62" s="38">
        <f t="shared" si="4"/>
        <v>-1</v>
      </c>
    </row>
    <row r="63" spans="1:8" ht="15.75" customHeight="1" x14ac:dyDescent="0.25">
      <c r="A63" s="35" t="s">
        <v>41</v>
      </c>
      <c r="B63" s="39" t="s">
        <v>42</v>
      </c>
      <c r="C63" s="37">
        <v>3.956</v>
      </c>
      <c r="D63" s="37">
        <v>3.956</v>
      </c>
      <c r="E63" s="38">
        <f t="shared" si="3"/>
        <v>100</v>
      </c>
      <c r="F63" s="38">
        <f t="shared" si="4"/>
        <v>0</v>
      </c>
    </row>
    <row r="64" spans="1:8" s="6" customFormat="1" x14ac:dyDescent="0.25">
      <c r="A64" s="41" t="s">
        <v>43</v>
      </c>
      <c r="B64" s="42" t="s">
        <v>44</v>
      </c>
      <c r="C64" s="32">
        <f>C65</f>
        <v>110.18913000000001</v>
      </c>
      <c r="D64" s="32">
        <f>D65</f>
        <v>110.18913000000001</v>
      </c>
      <c r="E64" s="34">
        <f t="shared" si="3"/>
        <v>100</v>
      </c>
      <c r="F64" s="34">
        <f t="shared" si="4"/>
        <v>0</v>
      </c>
    </row>
    <row r="65" spans="1:7" x14ac:dyDescent="0.25">
      <c r="A65" s="43" t="s">
        <v>45</v>
      </c>
      <c r="B65" s="44" t="s">
        <v>46</v>
      </c>
      <c r="C65" s="37">
        <v>110.18913000000001</v>
      </c>
      <c r="D65" s="37">
        <v>110.18913000000001</v>
      </c>
      <c r="E65" s="38">
        <f t="shared" si="3"/>
        <v>100</v>
      </c>
      <c r="F65" s="38">
        <f t="shared" si="4"/>
        <v>0</v>
      </c>
    </row>
    <row r="66" spans="1:7" s="6" customFormat="1" ht="15" customHeight="1" x14ac:dyDescent="0.25">
      <c r="A66" s="30" t="s">
        <v>47</v>
      </c>
      <c r="B66" s="31" t="s">
        <v>48</v>
      </c>
      <c r="C66" s="32">
        <f>C69+C70+C71</f>
        <v>7.6313399999999998</v>
      </c>
      <c r="D66" s="251">
        <f>D69+D70+D71</f>
        <v>7.6313399999999998</v>
      </c>
      <c r="E66" s="34">
        <f t="shared" si="3"/>
        <v>100</v>
      </c>
      <c r="F66" s="34">
        <f t="shared" si="4"/>
        <v>0</v>
      </c>
    </row>
    <row r="67" spans="1:7" hidden="1" x14ac:dyDescent="0.25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 x14ac:dyDescent="0.25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 x14ac:dyDescent="0.25">
      <c r="A69" s="46" t="s">
        <v>53</v>
      </c>
      <c r="B69" s="47" t="s">
        <v>54</v>
      </c>
      <c r="C69" s="37">
        <v>2.83134</v>
      </c>
      <c r="D69" s="37">
        <v>2.83134</v>
      </c>
      <c r="E69" s="34">
        <f t="shared" si="3"/>
        <v>100</v>
      </c>
      <c r="F69" s="34">
        <f t="shared" si="4"/>
        <v>0</v>
      </c>
    </row>
    <row r="70" spans="1:7" ht="15.75" customHeight="1" x14ac:dyDescent="0.25">
      <c r="A70" s="46" t="s">
        <v>210</v>
      </c>
      <c r="B70" s="47" t="s">
        <v>211</v>
      </c>
      <c r="C70" s="37">
        <v>2.8</v>
      </c>
      <c r="D70" s="37">
        <v>2.8</v>
      </c>
      <c r="E70" s="34">
        <f t="shared" si="3"/>
        <v>100</v>
      </c>
      <c r="F70" s="34">
        <f t="shared" si="4"/>
        <v>0</v>
      </c>
    </row>
    <row r="71" spans="1:7" ht="15.75" customHeight="1" x14ac:dyDescent="0.25">
      <c r="A71" s="46" t="s">
        <v>330</v>
      </c>
      <c r="B71" s="47" t="s">
        <v>385</v>
      </c>
      <c r="C71" s="37">
        <v>2</v>
      </c>
      <c r="D71" s="37">
        <v>2</v>
      </c>
      <c r="E71" s="34">
        <f>SUM(D71/C71*100)</f>
        <v>100</v>
      </c>
      <c r="F71" s="34">
        <f>SUM(D71-C71)</f>
        <v>0</v>
      </c>
    </row>
    <row r="72" spans="1:7" s="6" customFormat="1" ht="18.75" customHeight="1" x14ac:dyDescent="0.25">
      <c r="A72" s="30" t="s">
        <v>55</v>
      </c>
      <c r="B72" s="31" t="s">
        <v>56</v>
      </c>
      <c r="C72" s="48">
        <f>SUM(C73:C77)</f>
        <v>5377.79259</v>
      </c>
      <c r="D72" s="48">
        <f>SUM(D73:D77)</f>
        <v>5328.9064600000002</v>
      </c>
      <c r="E72" s="34">
        <f t="shared" si="3"/>
        <v>99.090962896358192</v>
      </c>
      <c r="F72" s="34">
        <f t="shared" si="4"/>
        <v>-48.886129999999866</v>
      </c>
    </row>
    <row r="73" spans="1:7" ht="15" hidden="1" customHeight="1" x14ac:dyDescent="0.25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.5" customHeight="1" x14ac:dyDescent="0.25">
      <c r="A74" s="35" t="s">
        <v>59</v>
      </c>
      <c r="B74" s="39" t="s">
        <v>60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 s="6" customFormat="1" ht="15" hidden="1" customHeight="1" x14ac:dyDescent="0.25">
      <c r="A75" s="35" t="s">
        <v>59</v>
      </c>
      <c r="B75" s="39" t="s">
        <v>60</v>
      </c>
      <c r="C75" s="49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 x14ac:dyDescent="0.25">
      <c r="A76" s="35" t="s">
        <v>61</v>
      </c>
      <c r="B76" s="39" t="s">
        <v>62</v>
      </c>
      <c r="C76" s="49">
        <v>4925.79259</v>
      </c>
      <c r="D76" s="37">
        <v>4891.9064600000002</v>
      </c>
      <c r="E76" s="38">
        <f t="shared" si="3"/>
        <v>99.312067461614333</v>
      </c>
      <c r="F76" s="38">
        <f t="shared" si="4"/>
        <v>-33.886129999999866</v>
      </c>
    </row>
    <row r="77" spans="1:7" x14ac:dyDescent="0.25">
      <c r="A77" s="35" t="s">
        <v>63</v>
      </c>
      <c r="B77" s="39" t="s">
        <v>64</v>
      </c>
      <c r="C77" s="49">
        <v>452</v>
      </c>
      <c r="D77" s="37">
        <v>437</v>
      </c>
      <c r="E77" s="38">
        <f t="shared" si="3"/>
        <v>96.681415929203538</v>
      </c>
      <c r="F77" s="38">
        <f t="shared" si="4"/>
        <v>-15</v>
      </c>
    </row>
    <row r="78" spans="1:7" s="6" customFormat="1" ht="17.25" customHeight="1" x14ac:dyDescent="0.25">
      <c r="A78" s="30" t="s">
        <v>65</v>
      </c>
      <c r="B78" s="31" t="s">
        <v>66</v>
      </c>
      <c r="C78" s="32">
        <f>SUM(C79:C81)</f>
        <v>3897.7041399999998</v>
      </c>
      <c r="D78" s="32">
        <f>SUM(D79:D81)</f>
        <v>3782.8211700000002</v>
      </c>
      <c r="E78" s="34">
        <f t="shared" si="3"/>
        <v>97.052547708251666</v>
      </c>
      <c r="F78" s="34">
        <f t="shared" si="4"/>
        <v>-114.88296999999966</v>
      </c>
    </row>
    <row r="79" spans="1:7" hidden="1" x14ac:dyDescent="0.25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" customHeight="1" x14ac:dyDescent="0.25">
      <c r="A80" s="35" t="s">
        <v>69</v>
      </c>
      <c r="B80" s="51" t="s">
        <v>70</v>
      </c>
      <c r="C80" s="37">
        <v>2876.9023499999998</v>
      </c>
      <c r="D80" s="37">
        <v>2762.0543400000001</v>
      </c>
      <c r="E80" s="38">
        <f t="shared" si="3"/>
        <v>96.007928110594378</v>
      </c>
      <c r="F80" s="38">
        <f t="shared" si="4"/>
        <v>-114.8480099999997</v>
      </c>
    </row>
    <row r="81" spans="1:6" x14ac:dyDescent="0.25">
      <c r="A81" s="35" t="s">
        <v>71</v>
      </c>
      <c r="B81" s="39" t="s">
        <v>72</v>
      </c>
      <c r="C81" s="37">
        <v>1020.80179</v>
      </c>
      <c r="D81" s="37">
        <v>1020.76683</v>
      </c>
      <c r="E81" s="38">
        <f t="shared" si="3"/>
        <v>99.996575241115124</v>
      </c>
      <c r="F81" s="38">
        <f t="shared" si="4"/>
        <v>-3.4959999999955471E-2</v>
      </c>
    </row>
    <row r="82" spans="1:6" s="6" customFormat="1" ht="32.25" customHeight="1" x14ac:dyDescent="0.25">
      <c r="A82" s="30" t="s">
        <v>81</v>
      </c>
      <c r="B82" s="31" t="s">
        <v>82</v>
      </c>
      <c r="C82" s="32">
        <f>C83</f>
        <v>1099.1500000000001</v>
      </c>
      <c r="D82" s="32">
        <f>D83</f>
        <v>1083.1500000000001</v>
      </c>
      <c r="E82" s="34">
        <f t="shared" si="3"/>
        <v>98.544329709320849</v>
      </c>
      <c r="F82" s="34">
        <f t="shared" si="4"/>
        <v>-16</v>
      </c>
    </row>
    <row r="83" spans="1:6" ht="14.25" customHeight="1" x14ac:dyDescent="0.25">
      <c r="A83" s="35" t="s">
        <v>83</v>
      </c>
      <c r="B83" s="39" t="s">
        <v>225</v>
      </c>
      <c r="C83" s="37">
        <v>1099.1500000000001</v>
      </c>
      <c r="D83" s="37">
        <v>1083.1500000000001</v>
      </c>
      <c r="E83" s="38">
        <f t="shared" si="3"/>
        <v>98.544329709320849</v>
      </c>
      <c r="F83" s="38">
        <f t="shared" si="4"/>
        <v>-16</v>
      </c>
    </row>
    <row r="84" spans="1:6" s="6" customFormat="1" ht="18.75" customHeight="1" x14ac:dyDescent="0.25">
      <c r="A84" s="52">
        <v>1000</v>
      </c>
      <c r="B84" s="31" t="s">
        <v>84</v>
      </c>
      <c r="C84" s="32">
        <f>SUM(C85:C88)</f>
        <v>9</v>
      </c>
      <c r="D84" s="32">
        <f>SUM(D85:D88)</f>
        <v>9</v>
      </c>
      <c r="E84" s="34">
        <f t="shared" si="3"/>
        <v>100</v>
      </c>
      <c r="F84" s="34">
        <f t="shared" si="4"/>
        <v>0</v>
      </c>
    </row>
    <row r="85" spans="1:6" ht="1.5" customHeight="1" x14ac:dyDescent="0.25">
      <c r="A85" s="53">
        <v>1001</v>
      </c>
      <c r="B85" s="54" t="s">
        <v>85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29.25" customHeight="1" x14ac:dyDescent="0.25">
      <c r="A86" s="53">
        <v>1003</v>
      </c>
      <c r="B86" s="54" t="s">
        <v>86</v>
      </c>
      <c r="C86" s="37">
        <v>9</v>
      </c>
      <c r="D86" s="37">
        <v>9</v>
      </c>
      <c r="E86" s="38">
        <f t="shared" si="3"/>
        <v>100</v>
      </c>
      <c r="F86" s="38">
        <f t="shared" si="4"/>
        <v>0</v>
      </c>
    </row>
    <row r="87" spans="1:6" ht="0.75" hidden="1" customHeight="1" x14ac:dyDescent="0.25">
      <c r="A87" s="53">
        <v>1004</v>
      </c>
      <c r="B87" s="54" t="s">
        <v>87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35.25" hidden="1" customHeight="1" x14ac:dyDescent="0.25">
      <c r="A88" s="35" t="s">
        <v>88</v>
      </c>
      <c r="B88" s="39" t="s">
        <v>89</v>
      </c>
      <c r="C88" s="37">
        <v>0</v>
      </c>
      <c r="D88" s="37">
        <v>0</v>
      </c>
      <c r="E88" s="38"/>
      <c r="F88" s="38">
        <f t="shared" si="4"/>
        <v>0</v>
      </c>
    </row>
    <row r="89" spans="1:6" ht="30.75" hidden="1" customHeight="1" x14ac:dyDescent="0.25">
      <c r="A89" s="35" t="s">
        <v>92</v>
      </c>
      <c r="B89" s="39" t="s">
        <v>93</v>
      </c>
      <c r="C89" s="37"/>
      <c r="D89" s="37">
        <v>0</v>
      </c>
      <c r="E89" s="38" t="e">
        <f t="shared" si="3"/>
        <v>#DIV/0!</v>
      </c>
      <c r="F89" s="38">
        <f>SUM(D89-C89)</f>
        <v>0</v>
      </c>
    </row>
    <row r="90" spans="1:6" ht="29.25" hidden="1" customHeight="1" x14ac:dyDescent="0.25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9.25" hidden="1" customHeight="1" x14ac:dyDescent="0.25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/>
    </row>
    <row r="92" spans="1:6" ht="1.5" hidden="1" customHeight="1" x14ac:dyDescent="0.25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25.5" hidden="1" customHeight="1" x14ac:dyDescent="0.25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s="6" customFormat="1" ht="0.75" hidden="1" customHeight="1" x14ac:dyDescent="0.25">
      <c r="A94" s="52">
        <v>1400</v>
      </c>
      <c r="B94" s="56" t="s">
        <v>109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20.25" hidden="1" customHeight="1" x14ac:dyDescent="0.25">
      <c r="A95" s="53">
        <v>1401</v>
      </c>
      <c r="B95" s="54" t="s">
        <v>110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 x14ac:dyDescent="0.25">
      <c r="A96" s="30" t="s">
        <v>90</v>
      </c>
      <c r="B96" s="31" t="s">
        <v>91</v>
      </c>
      <c r="C96" s="48">
        <f>C97</f>
        <v>2</v>
      </c>
      <c r="D96" s="32">
        <f>D97</f>
        <v>2</v>
      </c>
      <c r="E96" s="34">
        <f t="shared" si="3"/>
        <v>100</v>
      </c>
      <c r="F96" s="34">
        <f t="shared" si="4"/>
        <v>0</v>
      </c>
    </row>
    <row r="97" spans="1:8" ht="18" customHeight="1" x14ac:dyDescent="0.25">
      <c r="A97" s="35" t="s">
        <v>92</v>
      </c>
      <c r="B97" s="39" t="s">
        <v>93</v>
      </c>
      <c r="C97" s="49">
        <v>2</v>
      </c>
      <c r="D97" s="37">
        <v>2</v>
      </c>
      <c r="E97" s="38">
        <f t="shared" si="3"/>
        <v>100</v>
      </c>
      <c r="F97" s="38">
        <f t="shared" si="4"/>
        <v>0</v>
      </c>
    </row>
    <row r="98" spans="1:8" s="6" customFormat="1" x14ac:dyDescent="0.25">
      <c r="A98" s="52"/>
      <c r="B98" s="57" t="s">
        <v>113</v>
      </c>
      <c r="C98" s="243">
        <f>C56+C64+C66+C72+C78+C82+C96+C84</f>
        <v>11856.092259999999</v>
      </c>
      <c r="D98" s="243">
        <f>D56+D64+D66+D72+D78+D82+D96+D84</f>
        <v>11659.78177</v>
      </c>
      <c r="E98" s="34">
        <f t="shared" si="3"/>
        <v>98.344222651992084</v>
      </c>
      <c r="F98" s="34">
        <f t="shared" si="4"/>
        <v>-196.31048999999985</v>
      </c>
      <c r="G98" s="193">
        <f>8096.52307-C98</f>
        <v>-3759.5691899999993</v>
      </c>
      <c r="H98" s="193">
        <f>899.25122-D98</f>
        <v>-10760.530549999999</v>
      </c>
    </row>
    <row r="99" spans="1:8" ht="16.5" customHeight="1" x14ac:dyDescent="0.25">
      <c r="C99" s="124"/>
      <c r="D99" s="100"/>
    </row>
    <row r="100" spans="1:8" s="65" customFormat="1" ht="20.25" customHeight="1" x14ac:dyDescent="0.2">
      <c r="A100" s="63" t="s">
        <v>114</v>
      </c>
      <c r="B100" s="63"/>
      <c r="C100" s="114"/>
      <c r="D100" s="64" t="s">
        <v>256</v>
      </c>
    </row>
    <row r="101" spans="1:8" s="65" customFormat="1" ht="13.5" customHeight="1" x14ac:dyDescent="0.2">
      <c r="A101" s="66" t="s">
        <v>115</v>
      </c>
      <c r="B101" s="66"/>
      <c r="C101" s="65" t="s">
        <v>116</v>
      </c>
    </row>
    <row r="103" spans="1:8" ht="5.25" customHeight="1" x14ac:dyDescent="0.25"/>
    <row r="142" hidden="1" x14ac:dyDescent="0.25"/>
  </sheetData>
  <customSheetViews>
    <customSheetView guid="{4D5E6ACC-9055-4DE9-8C20-9052F3C35D19}" scale="70" showPageBreaks="1" printArea="1" hiddenRows="1" state="hidden" view="pageBreakPreview" topLeftCell="A31">
      <selection activeCell="C77" sqref="C77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5C539BE6-C8E0-453F-AB5E-9E58094195EA}" scale="70" showPageBreaks="1" printArea="1" hiddenRows="1" view="pageBreakPreview" topLeftCell="A31">
      <selection activeCell="A35" sqref="A35:B35"/>
      <pageMargins left="0.70866141732283472" right="0.70866141732283472" top="0.74803149606299213" bottom="0.74803149606299213" header="0.31496062992125984" footer="0.31496062992125984"/>
      <pageSetup paperSize="9" scale="57" orientation="portrait" r:id="rId2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4"/>
    </customSheetView>
    <customSheetView guid="{1A52382B-3765-4E8C-903F-6B8919B7242E}" scale="70" showPageBreaks="1" printArea="1" hiddenRows="1" view="pageBreakPreview" topLeftCell="A40">
      <selection activeCell="C72" sqref="C72"/>
      <pageMargins left="0.7" right="0.7" top="0.75" bottom="0.75" header="0.3" footer="0.3"/>
      <pageSetup paperSize="9" scale="48" orientation="portrait" r:id="rId5"/>
    </customSheetView>
    <customSheetView guid="{B31C8DB7-3E78-4144-A6B5-8DE36DE63F0E}" showPageBreaks="1" printArea="1" hiddenRows="1" topLeftCell="A27">
      <selection activeCell="B58" sqref="B58"/>
      <pageMargins left="0.7" right="0.7" top="0.75" bottom="0.75" header="0.3" footer="0.3"/>
      <pageSetup paperSize="9" scale="48" orientation="portrait" r:id="rId6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7"/>
    </customSheetView>
    <customSheetView guid="{B30CE22D-C12F-4E12-8BB9-3AAE0A6991CC}" scale="70" showPageBreaks="1" printArea="1" hiddenRows="1" view="pageBreakPreview" topLeftCell="A28">
      <selection activeCell="C98" sqref="C98"/>
      <pageMargins left="0.70866141732283472" right="0.70866141732283472" top="0.74803149606299213" bottom="0.74803149606299213" header="0.31496062992125984" footer="0.31496062992125984"/>
      <pageSetup paperSize="9" scale="57" orientation="portrait" r:id="rId8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1" orientation="portrait" r:id="rId9"/>
    </customSheetView>
    <customSheetView guid="{3DCB9AAA-F09C-4EA6-B992-F93E466D374A}" printArea="1" hiddenRows="1" topLeftCell="A20">
      <selection activeCell="C42" sqref="C42"/>
      <pageMargins left="0.7" right="0.7" top="0.75" bottom="0.75" header="0.3" footer="0.3"/>
      <pageSetup paperSize="9" scale="48" orientation="portrait" r:id="rId10"/>
    </customSheetView>
    <customSheetView guid="{F85EE840-0C31-454A-8951-832C2E9E0600}" scale="70" showPageBreaks="1" printArea="1" hiddenRows="1" state="hidden" view="pageBreakPreview" topLeftCell="A48">
      <selection activeCell="C69" sqref="C69"/>
      <pageMargins left="0.70866141732283472" right="0.70866141732283472" top="0.74803149606299213" bottom="0.74803149606299213" header="0.31496062992125984" footer="0.31496062992125984"/>
      <pageSetup paperSize="9" scale="57" orientation="portrait" r:id="rId11"/>
    </customSheetView>
    <customSheetView guid="{F1E84C44-1ACD-474A-BDE0-C7088DB6C590}" scale="70" showPageBreaks="1" printArea="1" hiddenRows="1" state="hidden" view="pageBreakPreview" topLeftCell="A31">
      <selection activeCell="C77" sqref="C77"/>
      <pageMargins left="0.70866141732283472" right="0.70866141732283472" top="0.74803149606299213" bottom="0.74803149606299213" header="0.31496062992125984" footer="0.31496062992125984"/>
      <pageSetup paperSize="9" scale="57" orientation="portrait" r:id="rId12"/>
    </customSheetView>
    <customSheetView guid="{61528DAC-5C4C-48F4-ADE2-8A724B05A086}" scale="70" showPageBreaks="1" printArea="1" hiddenRows="1" state="hidden" view="pageBreakPreview" topLeftCell="A31">
      <selection activeCell="C77" sqref="C77"/>
      <pageMargins left="0.70866141732283472" right="0.70866141732283472" top="0.74803149606299213" bottom="0.74803149606299213" header="0.31496062992125984" footer="0.31496062992125984"/>
      <pageSetup paperSize="9" scale="57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H141"/>
  <sheetViews>
    <sheetView view="pageBreakPreview" topLeftCell="A19" zoomScale="70" zoomScaleNormal="100" zoomScaleSheetLayoutView="70" workbookViewId="0">
      <selection activeCell="C86" sqref="C86"/>
    </sheetView>
  </sheetViews>
  <sheetFormatPr defaultRowHeight="15.75" x14ac:dyDescent="0.25"/>
  <cols>
    <col min="1" max="1" width="14.7109375" style="58" customWidth="1"/>
    <col min="2" max="2" width="57.5703125" style="59" customWidth="1"/>
    <col min="3" max="3" width="17" style="62" customWidth="1"/>
    <col min="4" max="4" width="19.42578125" style="62" customWidth="1"/>
    <col min="5" max="5" width="10.28515625" style="62" customWidth="1"/>
    <col min="6" max="6" width="12.42578125" style="62" customWidth="1"/>
    <col min="7" max="7" width="15.5703125" style="1" bestFit="1" customWidth="1"/>
    <col min="8" max="8" width="13" style="1" bestFit="1" customWidth="1"/>
    <col min="9" max="9" width="9.140625" style="1"/>
    <col min="10" max="10" width="9.140625" style="1" customWidth="1"/>
    <col min="11" max="16384" width="9.140625" style="1"/>
  </cols>
  <sheetData>
    <row r="1" spans="1:6" x14ac:dyDescent="0.25">
      <c r="A1" s="599" t="s">
        <v>416</v>
      </c>
      <c r="B1" s="599"/>
      <c r="C1" s="599"/>
      <c r="D1" s="599"/>
      <c r="E1" s="599"/>
      <c r="F1" s="599"/>
    </row>
    <row r="2" spans="1:6" x14ac:dyDescent="0.25">
      <c r="A2" s="599"/>
      <c r="B2" s="599"/>
      <c r="C2" s="599"/>
      <c r="D2" s="599"/>
      <c r="E2" s="599"/>
      <c r="F2" s="599"/>
    </row>
    <row r="3" spans="1:6" ht="63" x14ac:dyDescent="0.25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 x14ac:dyDescent="0.25">
      <c r="A4" s="3"/>
      <c r="B4" s="4" t="s">
        <v>4</v>
      </c>
      <c r="C4" s="5">
        <f>C5+C12+C14+C17+C7</f>
        <v>1139.73</v>
      </c>
      <c r="D4" s="5">
        <f>D5+D12+D14+D17+D7</f>
        <v>1125.3793599999999</v>
      </c>
      <c r="E4" s="5">
        <f>SUM(D4/C4*100)</f>
        <v>98.740873715704595</v>
      </c>
      <c r="F4" s="5">
        <f>SUM(D4-C4)</f>
        <v>-14.350640000000112</v>
      </c>
    </row>
    <row r="5" spans="1:6" s="6" customFormat="1" x14ac:dyDescent="0.25">
      <c r="A5" s="68">
        <v>1010000000</v>
      </c>
      <c r="B5" s="67" t="s">
        <v>5</v>
      </c>
      <c r="C5" s="5">
        <f>C6</f>
        <v>111</v>
      </c>
      <c r="D5" s="5">
        <f>D6</f>
        <v>86.457999999999998</v>
      </c>
      <c r="E5" s="5">
        <f t="shared" ref="E5:E48" si="0">SUM(D5/C5*100)</f>
        <v>77.890090090090098</v>
      </c>
      <c r="F5" s="5">
        <f t="shared" ref="F5:F48" si="1">SUM(D5-C5)</f>
        <v>-24.542000000000002</v>
      </c>
    </row>
    <row r="6" spans="1:6" x14ac:dyDescent="0.25">
      <c r="A6" s="7">
        <v>1010200001</v>
      </c>
      <c r="B6" s="8" t="s">
        <v>220</v>
      </c>
      <c r="C6" s="9">
        <v>111</v>
      </c>
      <c r="D6" s="10">
        <v>86.457999999999998</v>
      </c>
      <c r="E6" s="9">
        <f t="shared" ref="E6:E11" si="2">SUM(D6/C6*100)</f>
        <v>77.890090090090098</v>
      </c>
      <c r="F6" s="9">
        <f t="shared" si="1"/>
        <v>-24.542000000000002</v>
      </c>
    </row>
    <row r="7" spans="1:6" ht="31.5" x14ac:dyDescent="0.25">
      <c r="A7" s="3">
        <v>1030000000</v>
      </c>
      <c r="B7" s="13" t="s">
        <v>259</v>
      </c>
      <c r="C7" s="5">
        <f>C8+C10+C9</f>
        <v>428.72999999999996</v>
      </c>
      <c r="D7" s="5">
        <f>D8+D10+D9+D11</f>
        <v>506.87091000000004</v>
      </c>
      <c r="E7" s="5">
        <f t="shared" si="2"/>
        <v>118.22613532992794</v>
      </c>
      <c r="F7" s="5">
        <f t="shared" si="1"/>
        <v>78.140910000000076</v>
      </c>
    </row>
    <row r="8" spans="1:6" x14ac:dyDescent="0.25">
      <c r="A8" s="7">
        <v>1030223001</v>
      </c>
      <c r="B8" s="8" t="s">
        <v>261</v>
      </c>
      <c r="C8" s="9">
        <v>159.916</v>
      </c>
      <c r="D8" s="10">
        <v>254.09796</v>
      </c>
      <c r="E8" s="9">
        <f t="shared" si="2"/>
        <v>158.89464468846143</v>
      </c>
      <c r="F8" s="9">
        <f t="shared" si="1"/>
        <v>94.181960000000004</v>
      </c>
    </row>
    <row r="9" spans="1:6" x14ac:dyDescent="0.25">
      <c r="A9" s="7">
        <v>1030224001</v>
      </c>
      <c r="B9" s="8" t="s">
        <v>267</v>
      </c>
      <c r="C9" s="9">
        <v>1.7150000000000001</v>
      </c>
      <c r="D9" s="10">
        <v>1.37252</v>
      </c>
      <c r="E9" s="9">
        <f t="shared" si="2"/>
        <v>80.03032069970844</v>
      </c>
      <c r="F9" s="9">
        <f t="shared" si="1"/>
        <v>-0.34248000000000012</v>
      </c>
    </row>
    <row r="10" spans="1:6" x14ac:dyDescent="0.25">
      <c r="A10" s="7">
        <v>1030225001</v>
      </c>
      <c r="B10" s="8" t="s">
        <v>260</v>
      </c>
      <c r="C10" s="9">
        <v>267.09899999999999</v>
      </c>
      <c r="D10" s="10">
        <v>280.55284</v>
      </c>
      <c r="E10" s="9">
        <f t="shared" si="2"/>
        <v>105.03702372528538</v>
      </c>
      <c r="F10" s="9">
        <f t="shared" si="1"/>
        <v>13.453840000000014</v>
      </c>
    </row>
    <row r="11" spans="1:6" x14ac:dyDescent="0.25">
      <c r="A11" s="7">
        <v>1030226001</v>
      </c>
      <c r="B11" s="8" t="s">
        <v>269</v>
      </c>
      <c r="C11" s="9">
        <v>0</v>
      </c>
      <c r="D11" s="10">
        <v>-29.15241</v>
      </c>
      <c r="E11" s="9" t="e">
        <f t="shared" si="2"/>
        <v>#DIV/0!</v>
      </c>
      <c r="F11" s="9">
        <f t="shared" si="1"/>
        <v>-29.15241</v>
      </c>
    </row>
    <row r="12" spans="1:6" s="6" customFormat="1" x14ac:dyDescent="0.25">
      <c r="A12" s="68">
        <v>1050000000</v>
      </c>
      <c r="B12" s="67" t="s">
        <v>6</v>
      </c>
      <c r="C12" s="5">
        <f>SUM(C13:C13)</f>
        <v>10</v>
      </c>
      <c r="D12" s="5">
        <f>SUM(D13:D13)</f>
        <v>1.0918099999999999</v>
      </c>
      <c r="E12" s="5">
        <f t="shared" si="0"/>
        <v>10.918100000000001</v>
      </c>
      <c r="F12" s="5">
        <f t="shared" si="1"/>
        <v>-8.9081899999999994</v>
      </c>
    </row>
    <row r="13" spans="1:6" ht="15.75" customHeight="1" x14ac:dyDescent="0.25">
      <c r="A13" s="7">
        <v>1050300000</v>
      </c>
      <c r="B13" s="11" t="s">
        <v>221</v>
      </c>
      <c r="C13" s="12">
        <v>10</v>
      </c>
      <c r="D13" s="10">
        <v>1.0918099999999999</v>
      </c>
      <c r="E13" s="9">
        <f t="shared" si="0"/>
        <v>10.918100000000001</v>
      </c>
      <c r="F13" s="9">
        <f t="shared" si="1"/>
        <v>-8.9081899999999994</v>
      </c>
    </row>
    <row r="14" spans="1:6" s="6" customFormat="1" ht="15.75" customHeight="1" x14ac:dyDescent="0.25">
      <c r="A14" s="68">
        <v>1060000000</v>
      </c>
      <c r="B14" s="67" t="s">
        <v>129</v>
      </c>
      <c r="C14" s="5">
        <f>C15+C16</f>
        <v>585</v>
      </c>
      <c r="D14" s="5">
        <f>D15+D16</f>
        <v>525.45863999999995</v>
      </c>
      <c r="E14" s="5">
        <f t="shared" si="0"/>
        <v>89.821989743589739</v>
      </c>
      <c r="F14" s="5">
        <f t="shared" si="1"/>
        <v>-59.541360000000054</v>
      </c>
    </row>
    <row r="15" spans="1:6" s="6" customFormat="1" ht="15.75" customHeight="1" x14ac:dyDescent="0.25">
      <c r="A15" s="7">
        <v>1060100000</v>
      </c>
      <c r="B15" s="11" t="s">
        <v>8</v>
      </c>
      <c r="C15" s="9">
        <v>271</v>
      </c>
      <c r="D15" s="10">
        <v>201.58349999999999</v>
      </c>
      <c r="E15" s="9">
        <f t="shared" si="0"/>
        <v>74.3850553505535</v>
      </c>
      <c r="F15" s="9">
        <f>SUM(D15-C15)</f>
        <v>-69.416500000000013</v>
      </c>
    </row>
    <row r="16" spans="1:6" ht="15.75" customHeight="1" x14ac:dyDescent="0.25">
      <c r="A16" s="7">
        <v>1060600000</v>
      </c>
      <c r="B16" s="11" t="s">
        <v>7</v>
      </c>
      <c r="C16" s="9">
        <v>314</v>
      </c>
      <c r="D16" s="10">
        <v>323.87513999999999</v>
      </c>
      <c r="E16" s="9">
        <f t="shared" si="0"/>
        <v>103.14494904458597</v>
      </c>
      <c r="F16" s="9">
        <f t="shared" si="1"/>
        <v>9.8751399999999876</v>
      </c>
    </row>
    <row r="17" spans="1:6" s="6" customFormat="1" x14ac:dyDescent="0.25">
      <c r="A17" s="3">
        <v>1080000000</v>
      </c>
      <c r="B17" s="4" t="s">
        <v>10</v>
      </c>
      <c r="C17" s="5">
        <f>C18</f>
        <v>5</v>
      </c>
      <c r="D17" s="5">
        <f>D18</f>
        <v>5.5</v>
      </c>
      <c r="E17" s="5">
        <f t="shared" si="0"/>
        <v>110.00000000000001</v>
      </c>
      <c r="F17" s="5">
        <f t="shared" si="1"/>
        <v>0.5</v>
      </c>
    </row>
    <row r="18" spans="1:6" ht="18" customHeight="1" x14ac:dyDescent="0.25">
      <c r="A18" s="7">
        <v>1080400001</v>
      </c>
      <c r="B18" s="8" t="s">
        <v>219</v>
      </c>
      <c r="C18" s="9">
        <v>5</v>
      </c>
      <c r="D18" s="10">
        <v>5.5</v>
      </c>
      <c r="E18" s="9">
        <f t="shared" si="0"/>
        <v>110.00000000000001</v>
      </c>
      <c r="F18" s="9">
        <f t="shared" si="1"/>
        <v>0.5</v>
      </c>
    </row>
    <row r="19" spans="1:6" ht="1.5" customHeight="1" x14ac:dyDescent="0.25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.75" hidden="1" customHeight="1" x14ac:dyDescent="0.25">
      <c r="A20" s="7">
        <v>1090400000</v>
      </c>
      <c r="B20" s="8" t="s">
        <v>119</v>
      </c>
      <c r="C20" s="5"/>
      <c r="D20" s="14"/>
      <c r="E20" s="9" t="e">
        <f t="shared" si="0"/>
        <v>#DIV/0!</v>
      </c>
      <c r="F20" s="9">
        <f t="shared" si="1"/>
        <v>0</v>
      </c>
    </row>
    <row r="21" spans="1:6" s="15" customFormat="1" ht="15" hidden="1" customHeight="1" x14ac:dyDescent="0.25">
      <c r="A21" s="7">
        <v>1090600000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 x14ac:dyDescent="0.25">
      <c r="A22" s="7">
        <v>1090700000</v>
      </c>
      <c r="B22" s="8" t="s">
        <v>121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6" customFormat="1" ht="15" customHeight="1" x14ac:dyDescent="0.25">
      <c r="A23" s="3"/>
      <c r="B23" s="4" t="s">
        <v>12</v>
      </c>
      <c r="C23" s="5">
        <f>C24+C27+C29+C33</f>
        <v>795.99516000000006</v>
      </c>
      <c r="D23" s="5">
        <f>D25+D27+D33+D32</f>
        <v>1090.69667</v>
      </c>
      <c r="E23" s="5">
        <f t="shared" si="0"/>
        <v>137.02302787871224</v>
      </c>
      <c r="F23" s="5">
        <f t="shared" si="1"/>
        <v>294.70150999999998</v>
      </c>
    </row>
    <row r="24" spans="1:6" s="6" customFormat="1" ht="30" customHeight="1" x14ac:dyDescent="0.25">
      <c r="A24" s="68">
        <v>1110000000</v>
      </c>
      <c r="B24" s="69" t="s">
        <v>122</v>
      </c>
      <c r="C24" s="5">
        <f>C25+C26</f>
        <v>30</v>
      </c>
      <c r="D24" s="5">
        <f>D25</f>
        <v>23.953299999999999</v>
      </c>
      <c r="E24" s="5">
        <f t="shared" si="0"/>
        <v>79.844333333333324</v>
      </c>
      <c r="F24" s="5">
        <f t="shared" si="1"/>
        <v>-6.0467000000000013</v>
      </c>
    </row>
    <row r="25" spans="1:6" ht="17.25" customHeight="1" x14ac:dyDescent="0.25">
      <c r="A25" s="16">
        <v>1110502510</v>
      </c>
      <c r="B25" s="17" t="s">
        <v>217</v>
      </c>
      <c r="C25" s="12">
        <v>30</v>
      </c>
      <c r="D25" s="10">
        <v>23.953299999999999</v>
      </c>
      <c r="E25" s="9">
        <f t="shared" si="0"/>
        <v>79.844333333333324</v>
      </c>
      <c r="F25" s="9">
        <f t="shared" si="1"/>
        <v>-6.0467000000000013</v>
      </c>
    </row>
    <row r="26" spans="1:6" ht="0.75" hidden="1" customHeight="1" x14ac:dyDescent="0.25">
      <c r="A26" s="7">
        <v>1110503505</v>
      </c>
      <c r="B26" s="11" t="s">
        <v>216</v>
      </c>
      <c r="C26" s="12">
        <v>0</v>
      </c>
      <c r="D26" s="10">
        <v>0</v>
      </c>
      <c r="E26" s="9" t="e">
        <f t="shared" si="0"/>
        <v>#DIV/0!</v>
      </c>
      <c r="F26" s="9">
        <f t="shared" si="1"/>
        <v>0</v>
      </c>
    </row>
    <row r="27" spans="1:6" s="15" customFormat="1" ht="19.5" customHeight="1" x14ac:dyDescent="0.25">
      <c r="A27" s="68">
        <v>1130000000</v>
      </c>
      <c r="B27" s="69" t="s">
        <v>124</v>
      </c>
      <c r="C27" s="5">
        <f>C28</f>
        <v>0</v>
      </c>
      <c r="D27" s="5">
        <f>D28</f>
        <v>8.3529999999999993E-2</v>
      </c>
      <c r="E27" s="5" t="e">
        <f t="shared" si="0"/>
        <v>#DIV/0!</v>
      </c>
      <c r="F27" s="5">
        <f t="shared" si="1"/>
        <v>8.3529999999999993E-2</v>
      </c>
    </row>
    <row r="28" spans="1:6" ht="18" customHeight="1" x14ac:dyDescent="0.25">
      <c r="A28" s="7">
        <v>113020000</v>
      </c>
      <c r="B28" s="8" t="s">
        <v>399</v>
      </c>
      <c r="C28" s="9">
        <v>0</v>
      </c>
      <c r="D28" s="10">
        <v>8.3529999999999993E-2</v>
      </c>
      <c r="E28" s="9" t="e">
        <f t="shared" si="0"/>
        <v>#DIV/0!</v>
      </c>
      <c r="F28" s="9">
        <f t="shared" si="1"/>
        <v>8.3529999999999993E-2</v>
      </c>
    </row>
    <row r="29" spans="1:6" ht="15.75" customHeight="1" x14ac:dyDescent="0.25">
      <c r="A29" s="70">
        <v>1140000000</v>
      </c>
      <c r="B29" s="71" t="s">
        <v>125</v>
      </c>
      <c r="C29" s="5">
        <f>C31</f>
        <v>0</v>
      </c>
      <c r="D29" s="5">
        <f>D30+D31</f>
        <v>0</v>
      </c>
      <c r="E29" s="5" t="e">
        <f t="shared" si="0"/>
        <v>#DIV/0!</v>
      </c>
      <c r="F29" s="5">
        <f t="shared" si="1"/>
        <v>0</v>
      </c>
    </row>
    <row r="30" spans="1:6" ht="14.25" customHeight="1" x14ac:dyDescent="0.25">
      <c r="A30" s="16">
        <v>1140200000</v>
      </c>
      <c r="B30" s="18" t="s">
        <v>126</v>
      </c>
      <c r="C30" s="9"/>
      <c r="D30" s="10"/>
      <c r="E30" s="9" t="e">
        <f t="shared" si="0"/>
        <v>#DIV/0!</v>
      </c>
      <c r="F30" s="9">
        <f t="shared" si="1"/>
        <v>0</v>
      </c>
    </row>
    <row r="31" spans="1:6" ht="15.75" customHeight="1" x14ac:dyDescent="0.25">
      <c r="A31" s="7">
        <v>1140600000</v>
      </c>
      <c r="B31" s="8" t="s">
        <v>214</v>
      </c>
      <c r="C31" s="9">
        <v>0</v>
      </c>
      <c r="D31" s="10">
        <v>0</v>
      </c>
      <c r="E31" s="9" t="e">
        <f t="shared" si="0"/>
        <v>#DIV/0!</v>
      </c>
      <c r="F31" s="9">
        <f t="shared" si="1"/>
        <v>0</v>
      </c>
    </row>
    <row r="32" spans="1:6" ht="18" customHeight="1" x14ac:dyDescent="0.25">
      <c r="A32" s="408">
        <v>1160000000</v>
      </c>
      <c r="B32" s="409" t="s">
        <v>236</v>
      </c>
      <c r="C32" s="5">
        <v>0</v>
      </c>
      <c r="D32" s="14">
        <v>0.86636000000000002</v>
      </c>
      <c r="E32" s="9"/>
      <c r="F32" s="9"/>
    </row>
    <row r="33" spans="1:8" ht="18" customHeight="1" x14ac:dyDescent="0.25">
      <c r="A33" s="3">
        <v>1170000000</v>
      </c>
      <c r="B33" s="13" t="s">
        <v>128</v>
      </c>
      <c r="C33" s="5">
        <f>C34+C35</f>
        <v>765.99516000000006</v>
      </c>
      <c r="D33" s="5">
        <f>D34+D35</f>
        <v>1065.79348</v>
      </c>
      <c r="E33" s="5">
        <f t="shared" si="0"/>
        <v>139.1384091774157</v>
      </c>
      <c r="F33" s="5">
        <f t="shared" si="1"/>
        <v>299.79831999999999</v>
      </c>
    </row>
    <row r="34" spans="1:8" ht="19.5" customHeight="1" x14ac:dyDescent="0.25">
      <c r="A34" s="7">
        <v>1170105005</v>
      </c>
      <c r="B34" s="8" t="s">
        <v>15</v>
      </c>
      <c r="C34" s="9">
        <v>0</v>
      </c>
      <c r="D34" s="9">
        <v>0</v>
      </c>
      <c r="E34" s="9" t="e">
        <f t="shared" si="0"/>
        <v>#DIV/0!</v>
      </c>
      <c r="F34" s="9">
        <f t="shared" si="1"/>
        <v>0</v>
      </c>
    </row>
    <row r="35" spans="1:8" ht="19.5" customHeight="1" x14ac:dyDescent="0.25">
      <c r="A35" s="7">
        <v>1171503010</v>
      </c>
      <c r="B35" s="11" t="s">
        <v>406</v>
      </c>
      <c r="C35" s="9">
        <v>765.99516000000006</v>
      </c>
      <c r="D35" s="10">
        <v>1065.79348</v>
      </c>
      <c r="E35" s="9">
        <f t="shared" si="0"/>
        <v>139.1384091774157</v>
      </c>
      <c r="F35" s="9">
        <f t="shared" si="1"/>
        <v>299.79831999999999</v>
      </c>
    </row>
    <row r="36" spans="1:8" s="6" customFormat="1" ht="18.75" customHeight="1" x14ac:dyDescent="0.25">
      <c r="A36" s="3">
        <v>1000000000</v>
      </c>
      <c r="B36" s="4" t="s">
        <v>16</v>
      </c>
      <c r="C36" s="125">
        <f>SUM(C4,C23)</f>
        <v>1935.72516</v>
      </c>
      <c r="D36" s="125">
        <f>D4+D23</f>
        <v>2216.0760300000002</v>
      </c>
      <c r="E36" s="5">
        <f t="shared" si="0"/>
        <v>114.48298941364176</v>
      </c>
      <c r="F36" s="5">
        <f t="shared" si="1"/>
        <v>280.35087000000021</v>
      </c>
    </row>
    <row r="37" spans="1:8" s="6" customFormat="1" x14ac:dyDescent="0.25">
      <c r="A37" s="3">
        <v>2000000000</v>
      </c>
      <c r="B37" s="4" t="s">
        <v>17</v>
      </c>
      <c r="C37" s="224">
        <f>C38+C40+C41+C42+C43+C44</f>
        <v>10649.0036</v>
      </c>
      <c r="D37" s="224">
        <f>D38+D40+D41+D42+D44+D43</f>
        <v>10649.0036</v>
      </c>
      <c r="E37" s="5">
        <f t="shared" si="0"/>
        <v>100</v>
      </c>
      <c r="F37" s="5">
        <f t="shared" si="1"/>
        <v>0</v>
      </c>
      <c r="G37" s="19"/>
    </row>
    <row r="38" spans="1:8" ht="14.25" customHeight="1" x14ac:dyDescent="0.25">
      <c r="A38" s="16">
        <v>2021000000</v>
      </c>
      <c r="B38" s="17" t="s">
        <v>18</v>
      </c>
      <c r="C38" s="98">
        <v>2095.3000000000002</v>
      </c>
      <c r="D38" s="98">
        <v>2095.3000000000002</v>
      </c>
      <c r="E38" s="9">
        <f t="shared" si="0"/>
        <v>100</v>
      </c>
      <c r="F38" s="9">
        <f t="shared" si="1"/>
        <v>0</v>
      </c>
    </row>
    <row r="39" spans="1:8" ht="15.75" hidden="1" customHeight="1" x14ac:dyDescent="0.25">
      <c r="A39" s="16">
        <v>2020100310</v>
      </c>
      <c r="B39" s="17" t="s">
        <v>223</v>
      </c>
      <c r="C39" s="98"/>
      <c r="D39" s="20">
        <v>0</v>
      </c>
      <c r="E39" s="9" t="e">
        <f t="shared" si="0"/>
        <v>#DIV/0!</v>
      </c>
      <c r="F39" s="9">
        <f t="shared" si="1"/>
        <v>0</v>
      </c>
    </row>
    <row r="40" spans="1:8" ht="15.75" customHeight="1" x14ac:dyDescent="0.25">
      <c r="A40" s="16">
        <v>2021500200</v>
      </c>
      <c r="B40" s="17" t="s">
        <v>223</v>
      </c>
      <c r="C40" s="98"/>
      <c r="D40" s="20">
        <v>0</v>
      </c>
      <c r="E40" s="9" t="e">
        <f t="shared" si="0"/>
        <v>#DIV/0!</v>
      </c>
      <c r="F40" s="9">
        <f t="shared" si="1"/>
        <v>0</v>
      </c>
    </row>
    <row r="41" spans="1:8" x14ac:dyDescent="0.25">
      <c r="A41" s="16">
        <v>2022000000</v>
      </c>
      <c r="B41" s="17" t="s">
        <v>19</v>
      </c>
      <c r="C41" s="98">
        <v>5392.4916499999999</v>
      </c>
      <c r="D41" s="10">
        <v>5392.4916499999999</v>
      </c>
      <c r="E41" s="9">
        <f t="shared" si="0"/>
        <v>100</v>
      </c>
      <c r="F41" s="9">
        <f t="shared" si="1"/>
        <v>0</v>
      </c>
    </row>
    <row r="42" spans="1:8" ht="17.25" customHeight="1" x14ac:dyDescent="0.25">
      <c r="A42" s="16">
        <v>2023000000</v>
      </c>
      <c r="B42" s="17" t="s">
        <v>20</v>
      </c>
      <c r="C42" s="12">
        <v>96.750470000000007</v>
      </c>
      <c r="D42" s="180">
        <v>96.750470000000007</v>
      </c>
      <c r="E42" s="9">
        <f t="shared" si="0"/>
        <v>100</v>
      </c>
      <c r="F42" s="9">
        <f t="shared" si="1"/>
        <v>0</v>
      </c>
    </row>
    <row r="43" spans="1:8" ht="13.5" customHeight="1" x14ac:dyDescent="0.25">
      <c r="A43" s="16">
        <v>2024000000</v>
      </c>
      <c r="B43" s="17" t="s">
        <v>21</v>
      </c>
      <c r="C43" s="12">
        <v>3064.4614799999999</v>
      </c>
      <c r="D43" s="181">
        <v>3064.4614799999999</v>
      </c>
      <c r="E43" s="9">
        <f t="shared" si="0"/>
        <v>100</v>
      </c>
      <c r="F43" s="9">
        <f t="shared" si="1"/>
        <v>0</v>
      </c>
    </row>
    <row r="44" spans="1:8" ht="14.25" customHeight="1" x14ac:dyDescent="0.25">
      <c r="A44" s="16">
        <v>2070500010</v>
      </c>
      <c r="B44" s="8" t="s">
        <v>325</v>
      </c>
      <c r="C44" s="12"/>
      <c r="D44" s="181"/>
      <c r="E44" s="9" t="e">
        <f t="shared" si="0"/>
        <v>#DIV/0!</v>
      </c>
      <c r="F44" s="9">
        <f t="shared" si="1"/>
        <v>0</v>
      </c>
    </row>
    <row r="45" spans="1:8" ht="14.25" hidden="1" customHeight="1" x14ac:dyDescent="0.25">
      <c r="A45" s="7">
        <v>2190500005</v>
      </c>
      <c r="B45" s="11" t="s">
        <v>23</v>
      </c>
      <c r="C45" s="14"/>
      <c r="D45" s="14"/>
      <c r="E45" s="5"/>
      <c r="F45" s="5">
        <f>SUM(D45-C45)</f>
        <v>0</v>
      </c>
    </row>
    <row r="46" spans="1:8" s="6" customFormat="1" ht="16.5" hidden="1" customHeight="1" x14ac:dyDescent="0.25">
      <c r="A46" s="3">
        <v>3000000000</v>
      </c>
      <c r="B46" s="13" t="s">
        <v>24</v>
      </c>
      <c r="C46" s="184">
        <v>0</v>
      </c>
      <c r="D46" s="14">
        <v>0</v>
      </c>
      <c r="E46" s="5" t="e">
        <f t="shared" si="0"/>
        <v>#DIV/0!</v>
      </c>
      <c r="F46" s="5">
        <f t="shared" si="1"/>
        <v>0</v>
      </c>
    </row>
    <row r="47" spans="1:8" s="6" customFormat="1" ht="21" hidden="1" customHeight="1" x14ac:dyDescent="0.25">
      <c r="A47" s="3">
        <v>2190500010</v>
      </c>
      <c r="B47" s="13" t="s">
        <v>303</v>
      </c>
      <c r="C47" s="184">
        <v>0</v>
      </c>
      <c r="D47" s="14">
        <v>0</v>
      </c>
      <c r="E47" s="5"/>
      <c r="F47" s="5"/>
    </row>
    <row r="48" spans="1:8" s="6" customFormat="1" ht="16.5" customHeight="1" x14ac:dyDescent="0.25">
      <c r="A48" s="3"/>
      <c r="B48" s="4" t="s">
        <v>25</v>
      </c>
      <c r="C48" s="244">
        <f>C36+C37</f>
        <v>12584.72876</v>
      </c>
      <c r="D48" s="244">
        <f>D36+D37</f>
        <v>12865.07963</v>
      </c>
      <c r="E48" s="5">
        <f t="shared" si="0"/>
        <v>102.2277068925878</v>
      </c>
      <c r="F48" s="5">
        <f t="shared" si="1"/>
        <v>280.35087000000021</v>
      </c>
      <c r="G48" s="193"/>
      <c r="H48" s="239"/>
    </row>
    <row r="49" spans="1:6" s="6" customFormat="1" ht="15.75" customHeight="1" x14ac:dyDescent="0.25">
      <c r="A49" s="3"/>
      <c r="B49" s="21" t="s">
        <v>299</v>
      </c>
      <c r="C49" s="187">
        <f>C48-C95</f>
        <v>-62.656279999999242</v>
      </c>
      <c r="D49" s="187">
        <f>D48-D95</f>
        <v>251.71334000000024</v>
      </c>
      <c r="E49" s="22"/>
      <c r="F49" s="22"/>
    </row>
    <row r="50" spans="1:6" x14ac:dyDescent="0.25">
      <c r="A50" s="23"/>
      <c r="B50" s="24"/>
      <c r="C50" s="113"/>
      <c r="D50" s="25"/>
      <c r="E50" s="26"/>
      <c r="F50" s="27"/>
    </row>
    <row r="51" spans="1:6" ht="32.25" customHeight="1" x14ac:dyDescent="0.25">
      <c r="A51" s="28" t="s">
        <v>0</v>
      </c>
      <c r="B51" s="28" t="s">
        <v>26</v>
      </c>
      <c r="C51" s="72" t="s">
        <v>394</v>
      </c>
      <c r="D51" s="399" t="s">
        <v>409</v>
      </c>
      <c r="E51" s="72" t="s">
        <v>2</v>
      </c>
      <c r="F51" s="73" t="s">
        <v>3</v>
      </c>
    </row>
    <row r="52" spans="1:6" x14ac:dyDescent="0.25">
      <c r="A52" s="29">
        <v>1</v>
      </c>
      <c r="B52" s="28">
        <v>2</v>
      </c>
      <c r="C52" s="86">
        <v>3</v>
      </c>
      <c r="D52" s="86">
        <v>4</v>
      </c>
      <c r="E52" s="86">
        <v>5</v>
      </c>
      <c r="F52" s="86">
        <v>6</v>
      </c>
    </row>
    <row r="53" spans="1:6" s="6" customFormat="1" ht="16.5" customHeight="1" x14ac:dyDescent="0.25">
      <c r="A53" s="30" t="s">
        <v>27</v>
      </c>
      <c r="B53" s="31" t="s">
        <v>28</v>
      </c>
      <c r="C53" s="32">
        <f>C54+C55+C56+C57+C58+C60+C59</f>
        <v>1527.2872</v>
      </c>
      <c r="D53" s="33">
        <f>D55+D60</f>
        <v>1505.95272</v>
      </c>
      <c r="E53" s="34">
        <f>SUM(D53/C53*100)</f>
        <v>98.603112760979073</v>
      </c>
      <c r="F53" s="34">
        <f>SUM(D53-C53)</f>
        <v>-21.334479999999985</v>
      </c>
    </row>
    <row r="54" spans="1:6" s="6" customFormat="1" ht="17.25" hidden="1" customHeight="1" x14ac:dyDescent="0.25">
      <c r="A54" s="35" t="s">
        <v>29</v>
      </c>
      <c r="B54" s="36" t="s">
        <v>30</v>
      </c>
      <c r="C54" s="37"/>
      <c r="D54" s="37"/>
      <c r="E54" s="38"/>
      <c r="F54" s="38"/>
    </row>
    <row r="55" spans="1:6" ht="20.25" customHeight="1" x14ac:dyDescent="0.25">
      <c r="A55" s="35" t="s">
        <v>31</v>
      </c>
      <c r="B55" s="39" t="s">
        <v>32</v>
      </c>
      <c r="C55" s="37">
        <v>1523.1351999999999</v>
      </c>
      <c r="D55" s="37">
        <v>1502.80072</v>
      </c>
      <c r="E55" s="38">
        <f>SUM(D55/C55*100)</f>
        <v>98.664958960964199</v>
      </c>
      <c r="F55" s="38">
        <f t="shared" ref="F55:F95" si="3">SUM(D55-C55)</f>
        <v>-20.334479999999985</v>
      </c>
    </row>
    <row r="56" spans="1:6" ht="0.75" hidden="1" customHeight="1" x14ac:dyDescent="0.25">
      <c r="A56" s="35" t="s">
        <v>33</v>
      </c>
      <c r="B56" s="39" t="s">
        <v>34</v>
      </c>
      <c r="C56" s="37"/>
      <c r="D56" s="37"/>
      <c r="E56" s="38"/>
      <c r="F56" s="38">
        <f t="shared" si="3"/>
        <v>0</v>
      </c>
    </row>
    <row r="57" spans="1:6" ht="17.25" hidden="1" customHeight="1" x14ac:dyDescent="0.25">
      <c r="A57" s="35" t="s">
        <v>35</v>
      </c>
      <c r="B57" s="39" t="s">
        <v>36</v>
      </c>
      <c r="C57" s="37"/>
      <c r="D57" s="37"/>
      <c r="E57" s="38" t="e">
        <f t="shared" ref="E57:E95" si="4">SUM(D57/C57*100)</f>
        <v>#DIV/0!</v>
      </c>
      <c r="F57" s="38">
        <f t="shared" si="3"/>
        <v>0</v>
      </c>
    </row>
    <row r="58" spans="1:6" ht="17.25" customHeight="1" x14ac:dyDescent="0.25">
      <c r="A58" s="35" t="s">
        <v>37</v>
      </c>
      <c r="B58" s="39" t="s">
        <v>38</v>
      </c>
      <c r="C58" s="37"/>
      <c r="D58" s="37">
        <v>0</v>
      </c>
      <c r="E58" s="38" t="e">
        <f t="shared" si="4"/>
        <v>#DIV/0!</v>
      </c>
      <c r="F58" s="38">
        <f t="shared" si="3"/>
        <v>0</v>
      </c>
    </row>
    <row r="59" spans="1:6" ht="15.75" customHeight="1" x14ac:dyDescent="0.25">
      <c r="A59" s="35" t="s">
        <v>39</v>
      </c>
      <c r="B59" s="39" t="s">
        <v>40</v>
      </c>
      <c r="C59" s="40">
        <v>1</v>
      </c>
      <c r="D59" s="40">
        <v>0</v>
      </c>
      <c r="E59" s="38">
        <f t="shared" si="4"/>
        <v>0</v>
      </c>
      <c r="F59" s="38">
        <f t="shared" si="3"/>
        <v>-1</v>
      </c>
    </row>
    <row r="60" spans="1:6" ht="17.25" customHeight="1" x14ac:dyDescent="0.25">
      <c r="A60" s="35" t="s">
        <v>41</v>
      </c>
      <c r="B60" s="39" t="s">
        <v>42</v>
      </c>
      <c r="C60" s="37">
        <v>3.1520000000000001</v>
      </c>
      <c r="D60" s="37">
        <v>3.1520000000000001</v>
      </c>
      <c r="E60" s="38">
        <f t="shared" si="4"/>
        <v>100</v>
      </c>
      <c r="F60" s="38">
        <f t="shared" si="3"/>
        <v>0</v>
      </c>
    </row>
    <row r="61" spans="1:6" s="6" customFormat="1" ht="17.850000000000001" customHeight="1" x14ac:dyDescent="0.25">
      <c r="A61" s="41" t="s">
        <v>43</v>
      </c>
      <c r="B61" s="42" t="s">
        <v>44</v>
      </c>
      <c r="C61" s="32">
        <f>C62</f>
        <v>96.750470000000007</v>
      </c>
      <c r="D61" s="32">
        <f>D62</f>
        <v>96.750470000000007</v>
      </c>
      <c r="E61" s="34">
        <f t="shared" si="4"/>
        <v>100</v>
      </c>
      <c r="F61" s="34">
        <f t="shared" si="3"/>
        <v>0</v>
      </c>
    </row>
    <row r="62" spans="1:6" ht="17.850000000000001" customHeight="1" x14ac:dyDescent="0.25">
      <c r="A62" s="43" t="s">
        <v>45</v>
      </c>
      <c r="B62" s="44" t="s">
        <v>46</v>
      </c>
      <c r="C62" s="37">
        <v>96.750470000000007</v>
      </c>
      <c r="D62" s="37">
        <v>96.750470000000007</v>
      </c>
      <c r="E62" s="38">
        <f t="shared" si="4"/>
        <v>100</v>
      </c>
      <c r="F62" s="38">
        <f t="shared" si="3"/>
        <v>0</v>
      </c>
    </row>
    <row r="63" spans="1:6" s="6" customFormat="1" ht="17.25" customHeight="1" x14ac:dyDescent="0.25">
      <c r="A63" s="30" t="s">
        <v>47</v>
      </c>
      <c r="B63" s="31" t="s">
        <v>48</v>
      </c>
      <c r="C63" s="32">
        <f>C66+C67+C68</f>
        <v>7.6513399999999994</v>
      </c>
      <c r="D63" s="32">
        <f>SUM(D66+D67+D68)</f>
        <v>7.6513399999999994</v>
      </c>
      <c r="E63" s="34">
        <f t="shared" si="4"/>
        <v>100</v>
      </c>
      <c r="F63" s="34">
        <f t="shared" si="3"/>
        <v>0</v>
      </c>
    </row>
    <row r="64" spans="1:6" ht="17.25" hidden="1" customHeight="1" x14ac:dyDescent="0.25">
      <c r="A64" s="35" t="s">
        <v>49</v>
      </c>
      <c r="B64" s="39" t="s">
        <v>50</v>
      </c>
      <c r="C64" s="37"/>
      <c r="D64" s="37"/>
      <c r="E64" s="34" t="e">
        <f t="shared" si="4"/>
        <v>#DIV/0!</v>
      </c>
      <c r="F64" s="34">
        <f t="shared" si="3"/>
        <v>0</v>
      </c>
    </row>
    <row r="65" spans="1:7" ht="17.25" hidden="1" customHeight="1" x14ac:dyDescent="0.25">
      <c r="A65" s="45" t="s">
        <v>51</v>
      </c>
      <c r="B65" s="39" t="s">
        <v>52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8" customHeight="1" x14ac:dyDescent="0.25">
      <c r="A66" s="46" t="s">
        <v>53</v>
      </c>
      <c r="B66" s="47" t="s">
        <v>54</v>
      </c>
      <c r="C66" s="37">
        <v>2.83134</v>
      </c>
      <c r="D66" s="37">
        <v>2.83134</v>
      </c>
      <c r="E66" s="34">
        <f t="shared" si="4"/>
        <v>100</v>
      </c>
      <c r="F66" s="34">
        <f t="shared" si="3"/>
        <v>0</v>
      </c>
    </row>
    <row r="67" spans="1:7" ht="18" customHeight="1" x14ac:dyDescent="0.25">
      <c r="A67" s="46" t="s">
        <v>210</v>
      </c>
      <c r="B67" s="47" t="s">
        <v>211</v>
      </c>
      <c r="C67" s="37">
        <v>2.82</v>
      </c>
      <c r="D67" s="37">
        <v>2.82</v>
      </c>
      <c r="E67" s="38">
        <f t="shared" si="4"/>
        <v>100</v>
      </c>
      <c r="F67" s="38">
        <f t="shared" si="3"/>
        <v>0</v>
      </c>
    </row>
    <row r="68" spans="1:7" ht="18" customHeight="1" x14ac:dyDescent="0.25">
      <c r="A68" s="46" t="s">
        <v>330</v>
      </c>
      <c r="B68" s="47" t="s">
        <v>333</v>
      </c>
      <c r="C68" s="37">
        <v>2</v>
      </c>
      <c r="D68" s="37">
        <v>2</v>
      </c>
      <c r="E68" s="38"/>
      <c r="F68" s="38"/>
    </row>
    <row r="69" spans="1:7" s="6" customFormat="1" ht="17.25" customHeight="1" x14ac:dyDescent="0.25">
      <c r="A69" s="30" t="s">
        <v>55</v>
      </c>
      <c r="B69" s="31" t="s">
        <v>56</v>
      </c>
      <c r="C69" s="48">
        <f>SUM(C70:C73)</f>
        <v>1284.1928499999999</v>
      </c>
      <c r="D69" s="48">
        <f>D70+D71+D72+D73</f>
        <v>1271.5085799999999</v>
      </c>
      <c r="E69" s="34">
        <f t="shared" si="4"/>
        <v>99.012276855458282</v>
      </c>
      <c r="F69" s="34">
        <f t="shared" si="3"/>
        <v>-12.68426999999997</v>
      </c>
    </row>
    <row r="70" spans="1:7" ht="16.5" hidden="1" customHeight="1" x14ac:dyDescent="0.25">
      <c r="A70" s="35" t="s">
        <v>57</v>
      </c>
      <c r="B70" s="39" t="s">
        <v>58</v>
      </c>
      <c r="C70" s="49">
        <v>0</v>
      </c>
      <c r="D70" s="37">
        <v>0</v>
      </c>
      <c r="E70" s="38" t="e">
        <f t="shared" si="4"/>
        <v>#DIV/0!</v>
      </c>
      <c r="F70" s="38">
        <f t="shared" si="3"/>
        <v>0</v>
      </c>
    </row>
    <row r="71" spans="1:7" s="6" customFormat="1" ht="19.5" hidden="1" customHeight="1" x14ac:dyDescent="0.25">
      <c r="A71" s="35" t="s">
        <v>59</v>
      </c>
      <c r="B71" s="39" t="s">
        <v>60</v>
      </c>
      <c r="C71" s="49">
        <v>0</v>
      </c>
      <c r="D71" s="37">
        <v>0</v>
      </c>
      <c r="E71" s="38" t="e">
        <f t="shared" si="4"/>
        <v>#DIV/0!</v>
      </c>
      <c r="F71" s="38">
        <f t="shared" si="3"/>
        <v>0</v>
      </c>
      <c r="G71" s="50"/>
    </row>
    <row r="72" spans="1:7" ht="17.25" customHeight="1" x14ac:dyDescent="0.25">
      <c r="A72" s="35" t="s">
        <v>61</v>
      </c>
      <c r="B72" s="39" t="s">
        <v>62</v>
      </c>
      <c r="C72" s="49">
        <v>1256.6928499999999</v>
      </c>
      <c r="D72" s="37">
        <v>1244.0085799999999</v>
      </c>
      <c r="E72" s="38">
        <f t="shared" si="4"/>
        <v>98.990662674654345</v>
      </c>
      <c r="F72" s="38">
        <f t="shared" si="3"/>
        <v>-12.68426999999997</v>
      </c>
    </row>
    <row r="73" spans="1:7" ht="15.75" customHeight="1" x14ac:dyDescent="0.25">
      <c r="A73" s="35" t="s">
        <v>63</v>
      </c>
      <c r="B73" s="39" t="s">
        <v>64</v>
      </c>
      <c r="C73" s="49">
        <v>27.5</v>
      </c>
      <c r="D73" s="37">
        <v>27.5</v>
      </c>
      <c r="E73" s="38">
        <f t="shared" si="4"/>
        <v>100</v>
      </c>
      <c r="F73" s="38">
        <f t="shared" si="3"/>
        <v>0</v>
      </c>
    </row>
    <row r="74" spans="1:7" s="6" customFormat="1" ht="18" customHeight="1" x14ac:dyDescent="0.25">
      <c r="A74" s="30" t="s">
        <v>65</v>
      </c>
      <c r="B74" s="31" t="s">
        <v>66</v>
      </c>
      <c r="C74" s="32">
        <f>SUM(C75:C77)</f>
        <v>8968.17029</v>
      </c>
      <c r="D74" s="32">
        <f>D77+D76</f>
        <v>8968.17029</v>
      </c>
      <c r="E74" s="34">
        <f t="shared" si="4"/>
        <v>100</v>
      </c>
      <c r="F74" s="34">
        <f t="shared" si="3"/>
        <v>0</v>
      </c>
    </row>
    <row r="75" spans="1:7" ht="15.75" hidden="1" customHeight="1" x14ac:dyDescent="0.25">
      <c r="A75" s="35" t="s">
        <v>67</v>
      </c>
      <c r="B75" s="51" t="s">
        <v>68</v>
      </c>
      <c r="C75" s="37">
        <v>0</v>
      </c>
      <c r="D75" s="37">
        <v>0</v>
      </c>
      <c r="E75" s="38" t="e">
        <f t="shared" si="4"/>
        <v>#DIV/0!</v>
      </c>
      <c r="F75" s="38">
        <f t="shared" si="3"/>
        <v>0</v>
      </c>
    </row>
    <row r="76" spans="1:7" ht="20.25" customHeight="1" x14ac:dyDescent="0.25">
      <c r="A76" s="35" t="s">
        <v>69</v>
      </c>
      <c r="B76" s="51" t="s">
        <v>70</v>
      </c>
      <c r="C76" s="37">
        <v>8022.3667100000002</v>
      </c>
      <c r="D76" s="37">
        <v>8022.3667100000002</v>
      </c>
      <c r="E76" s="38">
        <f t="shared" si="4"/>
        <v>100</v>
      </c>
      <c r="F76" s="38">
        <f t="shared" si="3"/>
        <v>0</v>
      </c>
    </row>
    <row r="77" spans="1:7" ht="17.850000000000001" customHeight="1" x14ac:dyDescent="0.25">
      <c r="A77" s="35" t="s">
        <v>71</v>
      </c>
      <c r="B77" s="39" t="s">
        <v>72</v>
      </c>
      <c r="C77" s="37">
        <v>945.80358000000001</v>
      </c>
      <c r="D77" s="37">
        <v>945.80358000000001</v>
      </c>
      <c r="E77" s="38">
        <f t="shared" si="4"/>
        <v>100</v>
      </c>
      <c r="F77" s="38">
        <f t="shared" si="3"/>
        <v>0</v>
      </c>
    </row>
    <row r="78" spans="1:7" s="6" customFormat="1" ht="17.850000000000001" customHeight="1" x14ac:dyDescent="0.25">
      <c r="A78" s="30" t="s">
        <v>81</v>
      </c>
      <c r="B78" s="31" t="s">
        <v>82</v>
      </c>
      <c r="C78" s="32">
        <f>C79</f>
        <v>758.33289000000002</v>
      </c>
      <c r="D78" s="32">
        <f>D79</f>
        <v>758.33289000000002</v>
      </c>
      <c r="E78" s="34">
        <f t="shared" si="4"/>
        <v>100</v>
      </c>
      <c r="F78" s="34">
        <f t="shared" si="3"/>
        <v>0</v>
      </c>
    </row>
    <row r="79" spans="1:7" ht="15" customHeight="1" x14ac:dyDescent="0.25">
      <c r="A79" s="35" t="s">
        <v>83</v>
      </c>
      <c r="B79" s="39" t="s">
        <v>225</v>
      </c>
      <c r="C79" s="37">
        <v>758.33289000000002</v>
      </c>
      <c r="D79" s="37">
        <v>758.33289000000002</v>
      </c>
      <c r="E79" s="38">
        <f t="shared" si="4"/>
        <v>100</v>
      </c>
      <c r="F79" s="38">
        <f t="shared" si="3"/>
        <v>0</v>
      </c>
    </row>
    <row r="80" spans="1:7" s="6" customFormat="1" ht="0.75" hidden="1" customHeight="1" x14ac:dyDescent="0.25">
      <c r="A80" s="52">
        <v>1000</v>
      </c>
      <c r="B80" s="31" t="s">
        <v>84</v>
      </c>
      <c r="C80" s="32">
        <f>SUM(C81:C84)</f>
        <v>0</v>
      </c>
      <c r="D80" s="32">
        <f>SUM(D81:D84)</f>
        <v>0</v>
      </c>
      <c r="E80" s="34" t="e">
        <f t="shared" si="4"/>
        <v>#DIV/0!</v>
      </c>
      <c r="F80" s="34">
        <f t="shared" si="3"/>
        <v>0</v>
      </c>
    </row>
    <row r="81" spans="1:8" ht="0.75" hidden="1" customHeight="1" x14ac:dyDescent="0.25">
      <c r="A81" s="53">
        <v>1001</v>
      </c>
      <c r="B81" s="54" t="s">
        <v>85</v>
      </c>
      <c r="C81" s="37"/>
      <c r="D81" s="37"/>
      <c r="E81" s="38" t="e">
        <f t="shared" si="4"/>
        <v>#DIV/0!</v>
      </c>
      <c r="F81" s="38">
        <f t="shared" si="3"/>
        <v>0</v>
      </c>
    </row>
    <row r="82" spans="1:8" ht="17.25" hidden="1" customHeight="1" x14ac:dyDescent="0.25">
      <c r="A82" s="53">
        <v>1003</v>
      </c>
      <c r="B82" s="54" t="s">
        <v>86</v>
      </c>
      <c r="C82" s="37">
        <v>0</v>
      </c>
      <c r="D82" s="37">
        <v>0</v>
      </c>
      <c r="E82" s="38" t="e">
        <f t="shared" si="4"/>
        <v>#DIV/0!</v>
      </c>
      <c r="F82" s="38">
        <f t="shared" si="3"/>
        <v>0</v>
      </c>
    </row>
    <row r="83" spans="1:8" ht="17.25" hidden="1" customHeight="1" x14ac:dyDescent="0.25">
      <c r="A83" s="53">
        <v>1004</v>
      </c>
      <c r="B83" s="54" t="s">
        <v>87</v>
      </c>
      <c r="C83" s="37"/>
      <c r="D83" s="55"/>
      <c r="E83" s="38" t="e">
        <f t="shared" si="4"/>
        <v>#DIV/0!</v>
      </c>
      <c r="F83" s="38">
        <f t="shared" si="3"/>
        <v>0</v>
      </c>
    </row>
    <row r="84" spans="1:8" ht="17.25" hidden="1" customHeight="1" x14ac:dyDescent="0.25">
      <c r="A84" s="35" t="s">
        <v>88</v>
      </c>
      <c r="B84" s="39" t="s">
        <v>89</v>
      </c>
      <c r="C84" s="37">
        <v>0</v>
      </c>
      <c r="D84" s="37">
        <v>0</v>
      </c>
      <c r="E84" s="38"/>
      <c r="F84" s="38">
        <f t="shared" si="3"/>
        <v>0</v>
      </c>
    </row>
    <row r="85" spans="1:8" ht="17.850000000000001" customHeight="1" x14ac:dyDescent="0.25">
      <c r="A85" s="30" t="s">
        <v>90</v>
      </c>
      <c r="B85" s="31" t="s">
        <v>91</v>
      </c>
      <c r="C85" s="32">
        <f>C86+C87+C88+C89+C90</f>
        <v>5</v>
      </c>
      <c r="D85" s="32">
        <f>D86+D87+D88+D89+D90</f>
        <v>5</v>
      </c>
      <c r="E85" s="38">
        <f t="shared" si="4"/>
        <v>100</v>
      </c>
      <c r="F85" s="22">
        <f>F86+F87+F88+F89+F90</f>
        <v>0</v>
      </c>
    </row>
    <row r="86" spans="1:8" ht="17.25" customHeight="1" x14ac:dyDescent="0.25">
      <c r="A86" s="35" t="s">
        <v>92</v>
      </c>
      <c r="B86" s="39" t="s">
        <v>93</v>
      </c>
      <c r="C86" s="37">
        <v>5</v>
      </c>
      <c r="D86" s="37">
        <v>5</v>
      </c>
      <c r="E86" s="38">
        <f t="shared" si="4"/>
        <v>100</v>
      </c>
      <c r="F86" s="38">
        <f>SUM(D86-C86)</f>
        <v>0</v>
      </c>
    </row>
    <row r="87" spans="1:8" ht="15.75" hidden="1" customHeight="1" x14ac:dyDescent="0.25">
      <c r="A87" s="35" t="s">
        <v>94</v>
      </c>
      <c r="B87" s="39" t="s">
        <v>95</v>
      </c>
      <c r="C87" s="37"/>
      <c r="D87" s="37"/>
      <c r="E87" s="38" t="e">
        <f t="shared" si="4"/>
        <v>#DIV/0!</v>
      </c>
      <c r="F87" s="38">
        <f>SUM(D87-C87)</f>
        <v>0</v>
      </c>
    </row>
    <row r="88" spans="1:8" ht="15.75" hidden="1" customHeight="1" x14ac:dyDescent="0.25">
      <c r="A88" s="35" t="s">
        <v>96</v>
      </c>
      <c r="B88" s="39" t="s">
        <v>97</v>
      </c>
      <c r="C88" s="37"/>
      <c r="D88" s="37"/>
      <c r="E88" s="38" t="e">
        <f t="shared" si="4"/>
        <v>#DIV/0!</v>
      </c>
      <c r="F88" s="38"/>
    </row>
    <row r="89" spans="1:8" ht="15.75" hidden="1" customHeight="1" x14ac:dyDescent="0.25">
      <c r="A89" s="35" t="s">
        <v>98</v>
      </c>
      <c r="B89" s="39" t="s">
        <v>99</v>
      </c>
      <c r="C89" s="37"/>
      <c r="D89" s="37"/>
      <c r="E89" s="38" t="e">
        <f t="shared" si="4"/>
        <v>#DIV/0!</v>
      </c>
      <c r="F89" s="38"/>
    </row>
    <row r="90" spans="1:8" ht="15.75" hidden="1" customHeight="1" x14ac:dyDescent="0.25">
      <c r="A90" s="35" t="s">
        <v>100</v>
      </c>
      <c r="B90" s="39" t="s">
        <v>101</v>
      </c>
      <c r="C90" s="37"/>
      <c r="D90" s="37"/>
      <c r="E90" s="38" t="e">
        <f t="shared" si="4"/>
        <v>#DIV/0!</v>
      </c>
      <c r="F90" s="38"/>
    </row>
    <row r="91" spans="1:8" s="6" customFormat="1" ht="15.75" hidden="1" customHeight="1" x14ac:dyDescent="0.25">
      <c r="A91" s="52">
        <v>1400</v>
      </c>
      <c r="B91" s="56" t="s">
        <v>109</v>
      </c>
      <c r="C91" s="48">
        <f>C92+C93+C94</f>
        <v>0</v>
      </c>
      <c r="D91" s="48">
        <f>SUM(D92:D94)</f>
        <v>0</v>
      </c>
      <c r="E91" s="34" t="e">
        <f t="shared" si="4"/>
        <v>#DIV/0!</v>
      </c>
      <c r="F91" s="34">
        <f t="shared" si="3"/>
        <v>0</v>
      </c>
    </row>
    <row r="92" spans="1:8" ht="15.75" hidden="1" customHeight="1" x14ac:dyDescent="0.25">
      <c r="A92" s="53">
        <v>1401</v>
      </c>
      <c r="B92" s="54" t="s">
        <v>110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8" ht="18" hidden="1" customHeight="1" x14ac:dyDescent="0.25">
      <c r="A93" s="53">
        <v>1402</v>
      </c>
      <c r="B93" s="54" t="s">
        <v>111</v>
      </c>
      <c r="C93" s="170"/>
      <c r="D93" s="171"/>
      <c r="E93" s="38" t="e">
        <f t="shared" si="4"/>
        <v>#DIV/0!</v>
      </c>
      <c r="F93" s="38">
        <f t="shared" si="3"/>
        <v>0</v>
      </c>
    </row>
    <row r="94" spans="1:8" ht="15.75" hidden="1" customHeight="1" x14ac:dyDescent="0.25">
      <c r="A94" s="53">
        <v>1403</v>
      </c>
      <c r="B94" s="54" t="s">
        <v>112</v>
      </c>
      <c r="C94" s="49">
        <v>0</v>
      </c>
      <c r="D94" s="37">
        <v>0</v>
      </c>
      <c r="E94" s="38" t="e">
        <f t="shared" si="4"/>
        <v>#DIV/0!</v>
      </c>
      <c r="F94" s="38">
        <f t="shared" si="3"/>
        <v>0</v>
      </c>
    </row>
    <row r="95" spans="1:8" s="6" customFormat="1" ht="16.5" customHeight="1" x14ac:dyDescent="0.25">
      <c r="A95" s="52"/>
      <c r="B95" s="57" t="s">
        <v>113</v>
      </c>
      <c r="C95" s="266">
        <f>C53+C61+C63+C69+C74+C78+C80+C85+C91</f>
        <v>12647.385039999999</v>
      </c>
      <c r="D95" s="246">
        <f>D53+D61+D63+D69+D74+D78+D85</f>
        <v>12613.36629</v>
      </c>
      <c r="E95" s="34">
        <f t="shared" si="4"/>
        <v>99.731021472878325</v>
      </c>
      <c r="F95" s="34">
        <f t="shared" si="3"/>
        <v>-34.018749999999272</v>
      </c>
      <c r="G95" s="239"/>
      <c r="H95" s="239"/>
    </row>
    <row r="96" spans="1:8" ht="20.25" customHeight="1" x14ac:dyDescent="0.25">
      <c r="C96" s="124"/>
      <c r="D96" s="100"/>
    </row>
    <row r="97" spans="1:4" s="65" customFormat="1" ht="13.5" customHeight="1" x14ac:dyDescent="0.2">
      <c r="A97" s="63" t="s">
        <v>114</v>
      </c>
      <c r="B97" s="63"/>
      <c r="C97" s="114"/>
      <c r="D97" s="64"/>
    </row>
    <row r="98" spans="1:4" s="65" customFormat="1" ht="12.75" x14ac:dyDescent="0.2">
      <c r="A98" s="66" t="s">
        <v>115</v>
      </c>
      <c r="B98" s="66"/>
      <c r="C98" s="132" t="s">
        <v>116</v>
      </c>
      <c r="D98" s="132"/>
    </row>
    <row r="99" spans="1:4" ht="5.25" customHeight="1" x14ac:dyDescent="0.25">
      <c r="C99" s="118"/>
    </row>
    <row r="141" hidden="1" x14ac:dyDescent="0.25"/>
  </sheetData>
  <customSheetViews>
    <customSheetView guid="{4D5E6ACC-9055-4DE9-8C20-9052F3C35D19}" scale="70" showPageBreaks="1" hiddenRows="1" state="hidden" view="pageBreakPreview" topLeftCell="A19">
      <selection activeCell="C86" sqref="C86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C539BE6-C8E0-453F-AB5E-9E58094195EA}" scale="70" showPageBreaks="1" hiddenRows="1" view="pageBreakPreview" topLeftCell="A13">
      <selection activeCell="E35" sqref="E35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scale="70" showPageBreaks="1" printArea="1" hiddenRows="1" view="pageBreakPreview" topLeftCell="A18">
      <selection activeCell="D86" sqref="D86"/>
      <pageMargins left="0.7" right="0.7" top="0.75" bottom="0.75" header="0.3" footer="0.3"/>
      <pageSetup paperSize="9" scale="60" orientation="portrait" r:id="rId5"/>
    </customSheetView>
    <customSheetView guid="{B31C8DB7-3E78-4144-A6B5-8DE36DE63F0E}" hiddenRows="1" topLeftCell="A44">
      <selection activeCell="C61" sqref="C61"/>
      <pageMargins left="0.7" right="0.7" top="0.75" bottom="0.75" header="0.3" footer="0.3"/>
      <pageSetup paperSize="9" scale="60" orientation="portrait" r:id="rId6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7"/>
    </customSheetView>
    <customSheetView guid="{B30CE22D-C12F-4E12-8BB9-3AAE0A6991CC}" scale="70" showPageBreaks="1" hiddenRows="1" view="pageBreakPreview" topLeftCell="A8">
      <selection activeCell="A32" sqref="A32:XFD32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2" orientation="portrait" r:id="rId9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10"/>
    </customSheetView>
    <customSheetView guid="{F85EE840-0C31-454A-8951-832C2E9E0600}" scale="70" showPageBreaks="1" hiddenRows="1" state="hidden" view="pageBreakPreview" topLeftCell="A19">
      <selection activeCell="C69" sqref="C69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  <customSheetView guid="{F1E84C44-1ACD-474A-BDE0-C7088DB6C590}" scale="70" showPageBreaks="1" hiddenRows="1" state="hidden" view="pageBreakPreview" topLeftCell="A19">
      <selection activeCell="C86" sqref="C86"/>
      <pageMargins left="0.70866141732283472" right="0.70866141732283472" top="0.74803149606299213" bottom="0.74803149606299213" header="0.31496062992125984" footer="0.31496062992125984"/>
      <pageSetup paperSize="9" scale="60" orientation="portrait" r:id="rId12"/>
    </customSheetView>
    <customSheetView guid="{61528DAC-5C4C-48F4-ADE2-8A724B05A086}" scale="70" showPageBreaks="1" hiddenRows="1" state="hidden" view="pageBreakPreview" topLeftCell="A19">
      <selection activeCell="C86" sqref="C86"/>
      <pageMargins left="0.70866141732283472" right="0.70866141732283472" top="0.74803149606299213" bottom="0.74803149606299213" header="0.31496062992125984" footer="0.31496062992125984"/>
      <pageSetup paperSize="9" scale="60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H142"/>
  <sheetViews>
    <sheetView view="pageBreakPreview" topLeftCell="A38" zoomScale="70" zoomScaleNormal="100" zoomScaleSheetLayoutView="70" workbookViewId="0">
      <selection activeCell="D89" sqref="D89"/>
    </sheetView>
  </sheetViews>
  <sheetFormatPr defaultRowHeight="15.75" x14ac:dyDescent="0.2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42578125" style="1" bestFit="1" customWidth="1"/>
    <col min="8" max="8" width="14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 x14ac:dyDescent="0.25">
      <c r="A1" s="599" t="s">
        <v>415</v>
      </c>
      <c r="B1" s="599"/>
      <c r="C1" s="599"/>
      <c r="D1" s="599"/>
      <c r="E1" s="599"/>
      <c r="F1" s="599"/>
    </row>
    <row r="2" spans="1:6" x14ac:dyDescent="0.25">
      <c r="A2" s="599"/>
      <c r="B2" s="599"/>
      <c r="C2" s="599"/>
      <c r="D2" s="599"/>
      <c r="E2" s="599"/>
      <c r="F2" s="599"/>
    </row>
    <row r="3" spans="1:6" ht="63" x14ac:dyDescent="0.25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 x14ac:dyDescent="0.25">
      <c r="A4" s="3"/>
      <c r="B4" s="4" t="s">
        <v>4</v>
      </c>
      <c r="C4" s="5">
        <f>C5+C12+C17+C7+C14</f>
        <v>1122.556</v>
      </c>
      <c r="D4" s="5">
        <f>D5+D12+D14+D17+D20+D7</f>
        <v>1205.0803900000001</v>
      </c>
      <c r="E4" s="5">
        <f>SUM(D4/C4*100)</f>
        <v>107.35147199783353</v>
      </c>
      <c r="F4" s="5">
        <f>SUM(D4-C4)</f>
        <v>82.524390000000039</v>
      </c>
    </row>
    <row r="5" spans="1:6" s="6" customFormat="1" x14ac:dyDescent="0.25">
      <c r="A5" s="68">
        <v>1010000000</v>
      </c>
      <c r="B5" s="67" t="s">
        <v>5</v>
      </c>
      <c r="C5" s="5">
        <f>C6</f>
        <v>93</v>
      </c>
      <c r="D5" s="5">
        <f>D6</f>
        <v>109.58056999999999</v>
      </c>
      <c r="E5" s="5">
        <f t="shared" ref="E5:E51" si="0">SUM(D5/C5*100)</f>
        <v>117.82856989247313</v>
      </c>
      <c r="F5" s="5">
        <f t="shared" ref="F5:F51" si="1">SUM(D5-C5)</f>
        <v>16.580569999999994</v>
      </c>
    </row>
    <row r="6" spans="1:6" x14ac:dyDescent="0.25">
      <c r="A6" s="7">
        <v>1010200001</v>
      </c>
      <c r="B6" s="8" t="s">
        <v>220</v>
      </c>
      <c r="C6" s="9">
        <v>93</v>
      </c>
      <c r="D6" s="10">
        <v>109.58056999999999</v>
      </c>
      <c r="E6" s="9">
        <f t="shared" ref="E6:E11" si="2">SUM(D6/C6*100)</f>
        <v>117.82856989247313</v>
      </c>
      <c r="F6" s="9">
        <f t="shared" si="1"/>
        <v>16.580569999999994</v>
      </c>
    </row>
    <row r="7" spans="1:6" ht="31.5" x14ac:dyDescent="0.25">
      <c r="A7" s="3">
        <v>1030000000</v>
      </c>
      <c r="B7" s="13" t="s">
        <v>259</v>
      </c>
      <c r="C7" s="5">
        <f>C8+C10+C9</f>
        <v>528.86</v>
      </c>
      <c r="D7" s="224">
        <f>D8+D10+D9+D11</f>
        <v>483.37358000000006</v>
      </c>
      <c r="E7" s="9">
        <f t="shared" si="2"/>
        <v>91.399156676625211</v>
      </c>
      <c r="F7" s="9">
        <f t="shared" si="1"/>
        <v>-45.486419999999953</v>
      </c>
    </row>
    <row r="8" spans="1:6" x14ac:dyDescent="0.25">
      <c r="A8" s="7">
        <v>1030223001</v>
      </c>
      <c r="B8" s="8" t="s">
        <v>261</v>
      </c>
      <c r="C8" s="9">
        <v>272.505</v>
      </c>
      <c r="D8" s="10">
        <v>242.31856999999999</v>
      </c>
      <c r="E8" s="9">
        <f t="shared" si="2"/>
        <v>88.922614263958451</v>
      </c>
      <c r="F8" s="9">
        <f t="shared" si="1"/>
        <v>-30.186430000000001</v>
      </c>
    </row>
    <row r="9" spans="1:6" x14ac:dyDescent="0.25">
      <c r="A9" s="7">
        <v>1030224001</v>
      </c>
      <c r="B9" s="8" t="s">
        <v>267</v>
      </c>
      <c r="C9" s="9">
        <v>1.635</v>
      </c>
      <c r="D9" s="10">
        <v>1.3088900000000001</v>
      </c>
      <c r="E9" s="9">
        <f t="shared" si="2"/>
        <v>80.05443425076453</v>
      </c>
      <c r="F9" s="9">
        <f t="shared" si="1"/>
        <v>-0.3261099999999999</v>
      </c>
    </row>
    <row r="10" spans="1:6" x14ac:dyDescent="0.25">
      <c r="A10" s="7">
        <v>1030225001</v>
      </c>
      <c r="B10" s="8" t="s">
        <v>260</v>
      </c>
      <c r="C10" s="9">
        <v>254.72</v>
      </c>
      <c r="D10" s="10">
        <v>267.5471</v>
      </c>
      <c r="E10" s="9">
        <f t="shared" si="2"/>
        <v>105.03576476130654</v>
      </c>
      <c r="F10" s="9">
        <f t="shared" si="1"/>
        <v>12.827100000000002</v>
      </c>
    </row>
    <row r="11" spans="1:6" x14ac:dyDescent="0.25">
      <c r="A11" s="7">
        <v>1030226001</v>
      </c>
      <c r="B11" s="8" t="s">
        <v>269</v>
      </c>
      <c r="C11" s="9">
        <v>0</v>
      </c>
      <c r="D11" s="10">
        <v>-27.800979999999999</v>
      </c>
      <c r="E11" s="9" t="e">
        <f t="shared" si="2"/>
        <v>#DIV/0!</v>
      </c>
      <c r="F11" s="9">
        <f t="shared" si="1"/>
        <v>-27.800979999999999</v>
      </c>
    </row>
    <row r="12" spans="1:6" s="6" customFormat="1" x14ac:dyDescent="0.25">
      <c r="A12" s="68">
        <v>1050000000</v>
      </c>
      <c r="B12" s="67" t="s">
        <v>6</v>
      </c>
      <c r="C12" s="5">
        <f>SUM(C13:C13)</f>
        <v>40</v>
      </c>
      <c r="D12" s="5">
        <f>SUM(D13:D13)</f>
        <v>143.49297999999999</v>
      </c>
      <c r="E12" s="5">
        <f t="shared" si="0"/>
        <v>358.73244999999997</v>
      </c>
      <c r="F12" s="5">
        <f t="shared" si="1"/>
        <v>103.49297999999999</v>
      </c>
    </row>
    <row r="13" spans="1:6" ht="15.75" customHeight="1" x14ac:dyDescent="0.25">
      <c r="A13" s="7">
        <v>1050300000</v>
      </c>
      <c r="B13" s="11" t="s">
        <v>221</v>
      </c>
      <c r="C13" s="12">
        <v>40</v>
      </c>
      <c r="D13" s="10">
        <v>143.49297999999999</v>
      </c>
      <c r="E13" s="9">
        <f t="shared" si="0"/>
        <v>358.73244999999997</v>
      </c>
      <c r="F13" s="9">
        <f t="shared" si="1"/>
        <v>103.49297999999999</v>
      </c>
    </row>
    <row r="14" spans="1:6" s="6" customFormat="1" ht="15.75" customHeight="1" x14ac:dyDescent="0.25">
      <c r="A14" s="68">
        <v>1060000000</v>
      </c>
      <c r="B14" s="67" t="s">
        <v>129</v>
      </c>
      <c r="C14" s="5">
        <f>C15+C16</f>
        <v>455.69600000000003</v>
      </c>
      <c r="D14" s="5">
        <f>D15+D16</f>
        <v>466.52960999999999</v>
      </c>
      <c r="E14" s="9">
        <f t="shared" si="0"/>
        <v>102.37737658438959</v>
      </c>
      <c r="F14" s="9">
        <f t="shared" si="1"/>
        <v>10.833609999999965</v>
      </c>
    </row>
    <row r="15" spans="1:6" s="6" customFormat="1" ht="15.75" customHeight="1" x14ac:dyDescent="0.25">
      <c r="A15" s="7">
        <v>1060100000</v>
      </c>
      <c r="B15" s="11" t="s">
        <v>8</v>
      </c>
      <c r="C15" s="185">
        <v>96</v>
      </c>
      <c r="D15" s="10">
        <v>117.6803</v>
      </c>
      <c r="E15" s="9">
        <f>SUM(D15/C15*100)</f>
        <v>122.58364583333335</v>
      </c>
      <c r="F15" s="9">
        <f>SUM(D15-C14)</f>
        <v>-338.01570000000004</v>
      </c>
    </row>
    <row r="16" spans="1:6" ht="15.75" customHeight="1" x14ac:dyDescent="0.25">
      <c r="A16" s="7">
        <v>1060600000</v>
      </c>
      <c r="B16" s="11" t="s">
        <v>7</v>
      </c>
      <c r="C16" s="9">
        <v>359.69600000000003</v>
      </c>
      <c r="D16" s="10">
        <v>348.84931</v>
      </c>
      <c r="E16" s="9">
        <f t="shared" si="0"/>
        <v>96.984484119923479</v>
      </c>
      <c r="F16" s="9">
        <f t="shared" si="1"/>
        <v>-10.846690000000024</v>
      </c>
    </row>
    <row r="17" spans="1:6" s="6" customFormat="1" x14ac:dyDescent="0.25">
      <c r="A17" s="3">
        <v>1080000000</v>
      </c>
      <c r="B17" s="4" t="s">
        <v>10</v>
      </c>
      <c r="C17" s="5">
        <f>C18</f>
        <v>5</v>
      </c>
      <c r="D17" s="5">
        <f>D18</f>
        <v>2.1</v>
      </c>
      <c r="E17" s="5">
        <f t="shared" si="0"/>
        <v>42.000000000000007</v>
      </c>
      <c r="F17" s="5">
        <f t="shared" si="1"/>
        <v>-2.9</v>
      </c>
    </row>
    <row r="18" spans="1:6" ht="18.75" customHeight="1" x14ac:dyDescent="0.25">
      <c r="A18" s="7">
        <v>1080400001</v>
      </c>
      <c r="B18" s="8" t="s">
        <v>219</v>
      </c>
      <c r="C18" s="9">
        <v>5</v>
      </c>
      <c r="D18" s="10">
        <v>2.1</v>
      </c>
      <c r="E18" s="9">
        <f t="shared" si="0"/>
        <v>42.000000000000007</v>
      </c>
      <c r="F18" s="9">
        <f t="shared" si="1"/>
        <v>-2.9</v>
      </c>
    </row>
    <row r="19" spans="1:6" ht="15.75" hidden="1" customHeight="1" x14ac:dyDescent="0.25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9.5" customHeight="1" x14ac:dyDescent="0.25">
      <c r="A20" s="68">
        <v>1090000000</v>
      </c>
      <c r="B20" s="69" t="s">
        <v>222</v>
      </c>
      <c r="C20" s="5">
        <f>C21+C22+C23+C24</f>
        <v>0</v>
      </c>
      <c r="D20" s="5">
        <f>D22</f>
        <v>3.65E-3</v>
      </c>
      <c r="E20" s="5" t="e">
        <f t="shared" si="0"/>
        <v>#DIV/0!</v>
      </c>
      <c r="F20" s="5">
        <f t="shared" si="1"/>
        <v>3.65E-3</v>
      </c>
    </row>
    <row r="21" spans="1:6" s="15" customFormat="1" ht="18" hidden="1" customHeight="1" x14ac:dyDescent="0.25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customHeight="1" x14ac:dyDescent="0.25">
      <c r="A22" s="7">
        <v>1090400000</v>
      </c>
      <c r="B22" s="8" t="s">
        <v>224</v>
      </c>
      <c r="C22" s="9">
        <v>0</v>
      </c>
      <c r="D22" s="10">
        <v>3.65E-3</v>
      </c>
      <c r="E22" s="9" t="e">
        <f t="shared" si="0"/>
        <v>#DIV/0!</v>
      </c>
      <c r="F22" s="9">
        <f t="shared" si="1"/>
        <v>3.65E-3</v>
      </c>
    </row>
    <row r="23" spans="1:6" s="15" customFormat="1" ht="0.75" customHeight="1" x14ac:dyDescent="0.25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 x14ac:dyDescent="0.25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 x14ac:dyDescent="0.25">
      <c r="A25" s="3"/>
      <c r="B25" s="4" t="s">
        <v>12</v>
      </c>
      <c r="C25" s="5">
        <f>C26+C29+C31+C37+C34</f>
        <v>258.38988000000001</v>
      </c>
      <c r="D25" s="5">
        <f>D26+D29+D31+D37-D34</f>
        <v>406.41803000000004</v>
      </c>
      <c r="E25" s="5">
        <f t="shared" si="0"/>
        <v>157.28867941732085</v>
      </c>
      <c r="F25" s="5">
        <f t="shared" si="1"/>
        <v>148.02815000000004</v>
      </c>
    </row>
    <row r="26" spans="1:6" s="6" customFormat="1" ht="15.75" customHeight="1" x14ac:dyDescent="0.25">
      <c r="A26" s="68">
        <v>1110000000</v>
      </c>
      <c r="B26" s="69" t="s">
        <v>122</v>
      </c>
      <c r="C26" s="5">
        <f>C27+C28</f>
        <v>86.14</v>
      </c>
      <c r="D26" s="5">
        <f>D27+D28</f>
        <v>86.699160000000006</v>
      </c>
      <c r="E26" s="5">
        <f t="shared" si="0"/>
        <v>100.6491293243557</v>
      </c>
      <c r="F26" s="5">
        <f t="shared" si="1"/>
        <v>0.55916000000000565</v>
      </c>
    </row>
    <row r="27" spans="1:6" ht="15.75" customHeight="1" x14ac:dyDescent="0.25">
      <c r="A27" s="16">
        <v>1110502510</v>
      </c>
      <c r="B27" s="17" t="s">
        <v>217</v>
      </c>
      <c r="C27" s="12">
        <v>86.14</v>
      </c>
      <c r="D27" s="10">
        <v>86.699160000000006</v>
      </c>
      <c r="E27" s="9">
        <f t="shared" si="0"/>
        <v>100.6491293243557</v>
      </c>
      <c r="F27" s="9">
        <f t="shared" si="1"/>
        <v>0.55916000000000565</v>
      </c>
    </row>
    <row r="28" spans="1:6" ht="17.25" customHeight="1" x14ac:dyDescent="0.25">
      <c r="A28" s="7">
        <v>1110503505</v>
      </c>
      <c r="B28" s="11" t="s">
        <v>216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 x14ac:dyDescent="0.25">
      <c r="A29" s="68">
        <v>1130000000</v>
      </c>
      <c r="B29" s="69" t="s">
        <v>124</v>
      </c>
      <c r="C29" s="5">
        <f>C30</f>
        <v>50</v>
      </c>
      <c r="D29" s="5">
        <f>D30</f>
        <v>58.907350000000001</v>
      </c>
      <c r="E29" s="5">
        <f t="shared" si="0"/>
        <v>117.8147</v>
      </c>
      <c r="F29" s="5">
        <f t="shared" si="1"/>
        <v>8.907350000000001</v>
      </c>
    </row>
    <row r="30" spans="1:6" ht="17.25" customHeight="1" x14ac:dyDescent="0.25">
      <c r="A30" s="7">
        <v>1130206005</v>
      </c>
      <c r="B30" s="8" t="s">
        <v>215</v>
      </c>
      <c r="C30" s="9">
        <v>50</v>
      </c>
      <c r="D30" s="10">
        <v>58.907350000000001</v>
      </c>
      <c r="E30" s="9">
        <f t="shared" si="0"/>
        <v>117.8147</v>
      </c>
      <c r="F30" s="9">
        <f t="shared" si="1"/>
        <v>8.907350000000001</v>
      </c>
    </row>
    <row r="31" spans="1:6" ht="32.25" customHeight="1" x14ac:dyDescent="0.25">
      <c r="A31" s="70">
        <v>1140000000</v>
      </c>
      <c r="B31" s="71" t="s">
        <v>125</v>
      </c>
      <c r="C31" s="5">
        <f>C32+C33</f>
        <v>0</v>
      </c>
      <c r="D31" s="5">
        <f>D32+D33</f>
        <v>78.477000000000004</v>
      </c>
      <c r="E31" s="5" t="e">
        <f t="shared" si="0"/>
        <v>#DIV/0!</v>
      </c>
      <c r="F31" s="5">
        <f t="shared" si="1"/>
        <v>78.477000000000004</v>
      </c>
    </row>
    <row r="32" spans="1:6" ht="25.5" customHeight="1" x14ac:dyDescent="0.25">
      <c r="A32" s="16">
        <v>1140200000</v>
      </c>
      <c r="B32" s="18" t="s">
        <v>213</v>
      </c>
      <c r="C32" s="9">
        <v>0</v>
      </c>
      <c r="D32" s="10">
        <v>78.477000000000004</v>
      </c>
      <c r="E32" s="9" t="e">
        <f t="shared" si="0"/>
        <v>#DIV/0!</v>
      </c>
      <c r="F32" s="9">
        <f t="shared" si="1"/>
        <v>78.477000000000004</v>
      </c>
    </row>
    <row r="33" spans="1:7" ht="30.75" customHeight="1" x14ac:dyDescent="0.25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2.25" customHeight="1" x14ac:dyDescent="0.25">
      <c r="A34" s="3">
        <v>1160000000</v>
      </c>
      <c r="B34" s="13" t="s">
        <v>236</v>
      </c>
      <c r="C34" s="14">
        <f>C35</f>
        <v>0</v>
      </c>
      <c r="D34" s="14">
        <f>D35+D36</f>
        <v>0</v>
      </c>
      <c r="E34" s="14">
        <f>E35</f>
        <v>149.14903801950561</v>
      </c>
      <c r="F34" s="14">
        <f>F35</f>
        <v>60.084639999999993</v>
      </c>
    </row>
    <row r="35" spans="1:7" ht="29.25" customHeight="1" x14ac:dyDescent="0.25">
      <c r="A35" s="7">
        <v>1163305010</v>
      </c>
      <c r="B35" s="8" t="s">
        <v>251</v>
      </c>
      <c r="C35" s="9">
        <v>0</v>
      </c>
      <c r="D35" s="10">
        <v>0</v>
      </c>
      <c r="E35" s="10">
        <f>E37</f>
        <v>149.14903801950561</v>
      </c>
      <c r="F35" s="10">
        <f>F37</f>
        <v>60.084639999999993</v>
      </c>
    </row>
    <row r="36" spans="1:7" ht="33" customHeight="1" x14ac:dyDescent="0.25">
      <c r="A36" s="7">
        <v>1169005010</v>
      </c>
      <c r="B36" s="8" t="s">
        <v>316</v>
      </c>
      <c r="C36" s="9">
        <v>0</v>
      </c>
      <c r="D36" s="10">
        <v>0</v>
      </c>
      <c r="E36" s="10" t="e">
        <f>E38</f>
        <v>#DIV/0!</v>
      </c>
      <c r="F36" s="10">
        <f>F38</f>
        <v>0</v>
      </c>
    </row>
    <row r="37" spans="1:7" x14ac:dyDescent="0.25">
      <c r="A37" s="3">
        <v>1170000000</v>
      </c>
      <c r="B37" s="13" t="s">
        <v>128</v>
      </c>
      <c r="C37" s="5">
        <f>C38+C39</f>
        <v>122.24988</v>
      </c>
      <c r="D37" s="5">
        <f>D38+D39</f>
        <v>182.33452</v>
      </c>
      <c r="E37" s="9">
        <f t="shared" si="0"/>
        <v>149.14903801950561</v>
      </c>
      <c r="F37" s="5">
        <f t="shared" si="1"/>
        <v>60.084639999999993</v>
      </c>
    </row>
    <row r="38" spans="1:7" x14ac:dyDescent="0.25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x14ac:dyDescent="0.25">
      <c r="A39" s="7">
        <v>1171503010</v>
      </c>
      <c r="B39" s="11" t="s">
        <v>406</v>
      </c>
      <c r="C39" s="9">
        <v>122.24988</v>
      </c>
      <c r="D39" s="10">
        <v>182.33452</v>
      </c>
      <c r="E39" s="9">
        <f t="shared" si="0"/>
        <v>149.14903801950561</v>
      </c>
      <c r="F39" s="9">
        <f t="shared" si="1"/>
        <v>60.084639999999993</v>
      </c>
    </row>
    <row r="40" spans="1:7" s="6" customFormat="1" ht="17.25" customHeight="1" x14ac:dyDescent="0.25">
      <c r="A40" s="3">
        <v>1000000000</v>
      </c>
      <c r="B40" s="4" t="s">
        <v>16</v>
      </c>
      <c r="C40" s="125">
        <f>SUM(C4,C25)</f>
        <v>1380.94588</v>
      </c>
      <c r="D40" s="125">
        <f>D4+D25</f>
        <v>1611.4984200000001</v>
      </c>
      <c r="E40" s="5">
        <f t="shared" si="0"/>
        <v>116.69526252542208</v>
      </c>
      <c r="F40" s="5">
        <f t="shared" si="1"/>
        <v>230.55254000000014</v>
      </c>
    </row>
    <row r="41" spans="1:7" s="6" customFormat="1" x14ac:dyDescent="0.25">
      <c r="A41" s="3">
        <v>2000000000</v>
      </c>
      <c r="B41" s="4" t="s">
        <v>17</v>
      </c>
      <c r="C41" s="5">
        <f>C42+C44+C45+C46+C47+C48+C43+C50</f>
        <v>6927.40247</v>
      </c>
      <c r="D41" s="247">
        <f>D42+D44+D45+D46+D47+D48+D43+D50</f>
        <v>6867.0774700000002</v>
      </c>
      <c r="E41" s="5">
        <f t="shared" si="0"/>
        <v>99.129182976429547</v>
      </c>
      <c r="F41" s="5">
        <f t="shared" si="1"/>
        <v>-60.324999999999818</v>
      </c>
      <c r="G41" s="19"/>
    </row>
    <row r="42" spans="1:7" ht="13.5" customHeight="1" x14ac:dyDescent="0.25">
      <c r="A42" s="16">
        <v>2021000000</v>
      </c>
      <c r="B42" s="17" t="s">
        <v>18</v>
      </c>
      <c r="C42" s="12">
        <v>3395.5</v>
      </c>
      <c r="D42" s="12">
        <v>3395.5</v>
      </c>
      <c r="E42" s="9">
        <f t="shared" si="0"/>
        <v>100</v>
      </c>
      <c r="F42" s="9">
        <f t="shared" si="1"/>
        <v>0</v>
      </c>
    </row>
    <row r="43" spans="1:7" ht="17.25" hidden="1" customHeight="1" x14ac:dyDescent="0.25">
      <c r="A43" s="16">
        <v>2021500200</v>
      </c>
      <c r="B43" s="17" t="s">
        <v>223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 x14ac:dyDescent="0.25">
      <c r="A44" s="16">
        <v>2022000000</v>
      </c>
      <c r="B44" s="17" t="s">
        <v>19</v>
      </c>
      <c r="C44" s="12">
        <v>2915.1730699999998</v>
      </c>
      <c r="D44" s="10">
        <v>2915.1730699999998</v>
      </c>
      <c r="E44" s="9">
        <f>SUM(D44/C44*100)</f>
        <v>100</v>
      </c>
      <c r="F44" s="9">
        <f t="shared" si="1"/>
        <v>0</v>
      </c>
    </row>
    <row r="45" spans="1:7" ht="17.25" customHeight="1" x14ac:dyDescent="0.25">
      <c r="A45" s="16">
        <v>2023000000</v>
      </c>
      <c r="B45" s="17" t="s">
        <v>20</v>
      </c>
      <c r="C45" s="12">
        <v>110.81102</v>
      </c>
      <c r="D45" s="180">
        <v>110.81102</v>
      </c>
      <c r="E45" s="9">
        <f t="shared" si="0"/>
        <v>100</v>
      </c>
      <c r="F45" s="9">
        <f t="shared" si="1"/>
        <v>0</v>
      </c>
    </row>
    <row r="46" spans="1:7" ht="21.75" customHeight="1" x14ac:dyDescent="0.25">
      <c r="A46" s="16">
        <v>2024000000</v>
      </c>
      <c r="B46" s="17" t="s">
        <v>21</v>
      </c>
      <c r="C46" s="12">
        <v>505.91838000000001</v>
      </c>
      <c r="D46" s="181">
        <v>445.59338000000002</v>
      </c>
      <c r="E46" s="9">
        <f t="shared" si="0"/>
        <v>88.076139870624985</v>
      </c>
      <c r="F46" s="9">
        <f t="shared" si="1"/>
        <v>-60.324999999999989</v>
      </c>
    </row>
    <row r="47" spans="1:7" ht="32.25" hidden="1" customHeight="1" x14ac:dyDescent="0.25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29.25" hidden="1" customHeight="1" x14ac:dyDescent="0.25">
      <c r="A48" s="7">
        <v>2190500005</v>
      </c>
      <c r="B48" s="11" t="s">
        <v>23</v>
      </c>
      <c r="C48" s="14"/>
      <c r="D48" s="14"/>
      <c r="E48" s="5"/>
      <c r="F48" s="5">
        <f>SUM(D48-C48)</f>
        <v>0</v>
      </c>
    </row>
    <row r="49" spans="1:8" s="6" customFormat="1" ht="0.75" hidden="1" customHeight="1" x14ac:dyDescent="0.25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34.5" customHeight="1" x14ac:dyDescent="0.25">
      <c r="A50" s="7">
        <v>2070500010</v>
      </c>
      <c r="B50" s="8" t="s">
        <v>325</v>
      </c>
      <c r="C50" s="12"/>
      <c r="D50" s="10"/>
      <c r="E50" s="9" t="e">
        <f t="shared" si="0"/>
        <v>#DIV/0!</v>
      </c>
      <c r="F50" s="9">
        <f t="shared" si="1"/>
        <v>0</v>
      </c>
    </row>
    <row r="51" spans="1:8" s="6" customFormat="1" ht="19.5" customHeight="1" x14ac:dyDescent="0.25">
      <c r="A51" s="3"/>
      <c r="B51" s="4" t="s">
        <v>25</v>
      </c>
      <c r="C51" s="240">
        <f>C40+C41</f>
        <v>8308.3483500000002</v>
      </c>
      <c r="D51" s="241">
        <f>D40+D41</f>
        <v>8478.5758900000001</v>
      </c>
      <c r="E51" s="92">
        <f t="shared" si="0"/>
        <v>102.04887340815458</v>
      </c>
      <c r="F51" s="92">
        <f t="shared" si="1"/>
        <v>170.22753999999986</v>
      </c>
      <c r="G51" s="193"/>
      <c r="H51" s="193"/>
    </row>
    <row r="52" spans="1:8" s="6" customFormat="1" x14ac:dyDescent="0.25">
      <c r="A52" s="3"/>
      <c r="B52" s="21" t="s">
        <v>299</v>
      </c>
      <c r="C52" s="92">
        <f>C51-C98</f>
        <v>-328.18882000000121</v>
      </c>
      <c r="D52" s="92">
        <f>D51-D98</f>
        <v>134.52896999999939</v>
      </c>
      <c r="E52" s="22"/>
      <c r="F52" s="22"/>
    </row>
    <row r="53" spans="1:8" x14ac:dyDescent="0.25">
      <c r="A53" s="23"/>
      <c r="B53" s="24"/>
      <c r="C53" s="179"/>
      <c r="D53" s="179"/>
      <c r="E53" s="26"/>
      <c r="F53" s="27"/>
    </row>
    <row r="54" spans="1:8" ht="46.5" customHeight="1" x14ac:dyDescent="0.25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8" x14ac:dyDescent="0.25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29.25" customHeight="1" x14ac:dyDescent="0.25">
      <c r="A56" s="30" t="s">
        <v>27</v>
      </c>
      <c r="B56" s="31" t="s">
        <v>28</v>
      </c>
      <c r="C56" s="176">
        <f>C57+C58+C59+C60+C61+C63+C62</f>
        <v>1722.4080000000001</v>
      </c>
      <c r="D56" s="33">
        <f>D57+D58+D59+D60+D61+D63+D62</f>
        <v>1590.3137200000001</v>
      </c>
      <c r="E56" s="34">
        <f>SUM(D56/C56*100)</f>
        <v>92.330836828440184</v>
      </c>
      <c r="F56" s="34">
        <f>SUM(D56-C56)</f>
        <v>-132.09428000000003</v>
      </c>
    </row>
    <row r="57" spans="1:8" s="6" customFormat="1" ht="31.5" hidden="1" x14ac:dyDescent="0.25">
      <c r="A57" s="35" t="s">
        <v>29</v>
      </c>
      <c r="B57" s="36" t="s">
        <v>30</v>
      </c>
      <c r="C57" s="37"/>
      <c r="D57" s="133"/>
      <c r="E57" s="38"/>
      <c r="F57" s="38"/>
    </row>
    <row r="58" spans="1:8" ht="18.75" customHeight="1" x14ac:dyDescent="0.25">
      <c r="A58" s="35" t="s">
        <v>31</v>
      </c>
      <c r="B58" s="39" t="s">
        <v>32</v>
      </c>
      <c r="C58" s="37">
        <v>1703.48</v>
      </c>
      <c r="D58" s="37">
        <v>1581.38572</v>
      </c>
      <c r="E58" s="38">
        <f t="shared" ref="E58:E98" si="3">SUM(D58/C58*100)</f>
        <v>92.832655505201117</v>
      </c>
      <c r="F58" s="38">
        <f t="shared" ref="F58:F98" si="4">SUM(D58-C58)</f>
        <v>-122.09428000000003</v>
      </c>
    </row>
    <row r="59" spans="1:8" ht="16.5" hidden="1" customHeight="1" x14ac:dyDescent="0.25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 x14ac:dyDescent="0.25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7.25" customHeight="1" x14ac:dyDescent="0.25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5.75" customHeight="1" x14ac:dyDescent="0.25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8" ht="18" customHeight="1" x14ac:dyDescent="0.25">
      <c r="A63" s="35" t="s">
        <v>41</v>
      </c>
      <c r="B63" s="39" t="s">
        <v>42</v>
      </c>
      <c r="C63" s="37">
        <v>8.9280000000000008</v>
      </c>
      <c r="D63" s="37">
        <v>8.9280000000000008</v>
      </c>
      <c r="E63" s="38">
        <f t="shared" si="3"/>
        <v>100</v>
      </c>
      <c r="F63" s="38">
        <f t="shared" si="4"/>
        <v>0</v>
      </c>
    </row>
    <row r="64" spans="1:8" s="6" customFormat="1" x14ac:dyDescent="0.25">
      <c r="A64" s="41" t="s">
        <v>43</v>
      </c>
      <c r="B64" s="42" t="s">
        <v>44</v>
      </c>
      <c r="C64" s="32">
        <f>C65</f>
        <v>110.81102</v>
      </c>
      <c r="D64" s="32">
        <f>D65</f>
        <v>110.81102</v>
      </c>
      <c r="E64" s="34">
        <f t="shared" si="3"/>
        <v>100</v>
      </c>
      <c r="F64" s="34">
        <f t="shared" si="4"/>
        <v>0</v>
      </c>
    </row>
    <row r="65" spans="1:7" x14ac:dyDescent="0.25">
      <c r="A65" s="43" t="s">
        <v>45</v>
      </c>
      <c r="B65" s="44" t="s">
        <v>46</v>
      </c>
      <c r="C65" s="37">
        <v>110.81102</v>
      </c>
      <c r="D65" s="37">
        <v>110.81102</v>
      </c>
      <c r="E65" s="38">
        <f t="shared" si="3"/>
        <v>100</v>
      </c>
      <c r="F65" s="38">
        <f t="shared" si="4"/>
        <v>0</v>
      </c>
    </row>
    <row r="66" spans="1:7" s="6" customFormat="1" ht="18.75" customHeight="1" x14ac:dyDescent="0.25">
      <c r="A66" s="30" t="s">
        <v>47</v>
      </c>
      <c r="B66" s="31" t="s">
        <v>48</v>
      </c>
      <c r="C66" s="32">
        <f>C69+C70+C71</f>
        <v>10.832000000000001</v>
      </c>
      <c r="D66" s="32">
        <f>SUM(D69+D70+D71)</f>
        <v>10.431339999999999</v>
      </c>
      <c r="E66" s="34">
        <f t="shared" si="3"/>
        <v>96.301144756277679</v>
      </c>
      <c r="F66" s="34">
        <f t="shared" si="4"/>
        <v>-0.40066000000000201</v>
      </c>
    </row>
    <row r="67" spans="1:7" hidden="1" x14ac:dyDescent="0.25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 x14ac:dyDescent="0.25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 x14ac:dyDescent="0.25">
      <c r="A69" s="46" t="s">
        <v>53</v>
      </c>
      <c r="B69" s="47" t="s">
        <v>54</v>
      </c>
      <c r="C69" s="96">
        <v>2.8319999999999999</v>
      </c>
      <c r="D69" s="37">
        <v>2.83134</v>
      </c>
      <c r="E69" s="38">
        <f t="shared" si="3"/>
        <v>99.976694915254242</v>
      </c>
      <c r="F69" s="38">
        <f t="shared" si="4"/>
        <v>-6.599999999998829E-4</v>
      </c>
    </row>
    <row r="70" spans="1:7" ht="15.75" customHeight="1" x14ac:dyDescent="0.25">
      <c r="A70" s="46" t="s">
        <v>210</v>
      </c>
      <c r="B70" s="47" t="s">
        <v>211</v>
      </c>
      <c r="C70" s="37">
        <v>6</v>
      </c>
      <c r="D70" s="37">
        <v>5.6</v>
      </c>
      <c r="E70" s="38">
        <f t="shared" si="3"/>
        <v>93.333333333333329</v>
      </c>
      <c r="F70" s="38">
        <f t="shared" si="4"/>
        <v>-0.40000000000000036</v>
      </c>
    </row>
    <row r="71" spans="1:7" ht="15.75" customHeight="1" x14ac:dyDescent="0.25">
      <c r="A71" s="46" t="s">
        <v>330</v>
      </c>
      <c r="B71" s="47" t="s">
        <v>385</v>
      </c>
      <c r="C71" s="37">
        <v>2</v>
      </c>
      <c r="D71" s="37">
        <v>2</v>
      </c>
      <c r="E71" s="38">
        <f>SUM(D71/C71*100)</f>
        <v>100</v>
      </c>
      <c r="F71" s="38">
        <f>SUM(D71-C71)</f>
        <v>0</v>
      </c>
    </row>
    <row r="72" spans="1:7" s="6" customFormat="1" ht="16.5" customHeight="1" x14ac:dyDescent="0.25">
      <c r="A72" s="30" t="s">
        <v>55</v>
      </c>
      <c r="B72" s="31" t="s">
        <v>56</v>
      </c>
      <c r="C72" s="48">
        <f>SUM(C73:C76)</f>
        <v>1530.38518</v>
      </c>
      <c r="D72" s="48">
        <f>SUM(D73:D76)</f>
        <v>1504.65516</v>
      </c>
      <c r="E72" s="34">
        <f t="shared" si="3"/>
        <v>98.318722610735165</v>
      </c>
      <c r="F72" s="34">
        <f t="shared" si="4"/>
        <v>-25.730019999999968</v>
      </c>
    </row>
    <row r="73" spans="1:7" ht="15.75" customHeight="1" x14ac:dyDescent="0.25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9.5" customHeight="1" x14ac:dyDescent="0.25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 x14ac:dyDescent="0.25">
      <c r="A75" s="35" t="s">
        <v>61</v>
      </c>
      <c r="B75" s="39" t="s">
        <v>62</v>
      </c>
      <c r="C75" s="49">
        <v>1457.1851799999999</v>
      </c>
      <c r="D75" s="37">
        <v>1441.0751600000001</v>
      </c>
      <c r="E75" s="38">
        <f t="shared" si="3"/>
        <v>98.894442503182759</v>
      </c>
      <c r="F75" s="38">
        <f t="shared" si="4"/>
        <v>-16.110019999999849</v>
      </c>
    </row>
    <row r="76" spans="1:7" ht="16.5" customHeight="1" x14ac:dyDescent="0.25">
      <c r="A76" s="35" t="s">
        <v>63</v>
      </c>
      <c r="B76" s="39" t="s">
        <v>64</v>
      </c>
      <c r="C76" s="49">
        <v>73.2</v>
      </c>
      <c r="D76" s="37">
        <v>63.58</v>
      </c>
      <c r="E76" s="38">
        <f t="shared" si="3"/>
        <v>86.857923497267748</v>
      </c>
      <c r="F76" s="38">
        <f t="shared" si="4"/>
        <v>-9.6200000000000045</v>
      </c>
    </row>
    <row r="77" spans="1:7" s="6" customFormat="1" ht="14.25" customHeight="1" x14ac:dyDescent="0.25">
      <c r="A77" s="30" t="s">
        <v>65</v>
      </c>
      <c r="B77" s="31" t="s">
        <v>66</v>
      </c>
      <c r="C77" s="32">
        <f>SUM(C78:C80)</f>
        <v>4218.2709700000005</v>
      </c>
      <c r="D77" s="32">
        <f>SUM(D78:D80)</f>
        <v>4084.0056800000002</v>
      </c>
      <c r="E77" s="34">
        <f t="shared" si="3"/>
        <v>96.817053931459498</v>
      </c>
      <c r="F77" s="34">
        <f t="shared" si="4"/>
        <v>-134.26529000000028</v>
      </c>
    </row>
    <row r="78" spans="1:7" ht="18" hidden="1" customHeight="1" x14ac:dyDescent="0.25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27.75" customHeight="1" x14ac:dyDescent="0.25">
      <c r="A79" s="35" t="s">
        <v>69</v>
      </c>
      <c r="B79" s="51" t="s">
        <v>70</v>
      </c>
      <c r="C79" s="37">
        <v>2576.5994500000002</v>
      </c>
      <c r="D79" s="37">
        <v>2574.2638400000001</v>
      </c>
      <c r="E79" s="38">
        <f t="shared" si="3"/>
        <v>99.909353004014648</v>
      </c>
      <c r="F79" s="38">
        <f t="shared" si="4"/>
        <v>-2.3356100000000879</v>
      </c>
    </row>
    <row r="80" spans="1:7" x14ac:dyDescent="0.25">
      <c r="A80" s="35" t="s">
        <v>71</v>
      </c>
      <c r="B80" s="39" t="s">
        <v>72</v>
      </c>
      <c r="C80" s="37">
        <v>1641.6715200000001</v>
      </c>
      <c r="D80" s="37">
        <v>1509.7418399999999</v>
      </c>
      <c r="E80" s="38">
        <f t="shared" si="3"/>
        <v>91.96369807280324</v>
      </c>
      <c r="F80" s="38">
        <f t="shared" si="4"/>
        <v>-131.92968000000019</v>
      </c>
    </row>
    <row r="81" spans="1:7" s="6" customFormat="1" x14ac:dyDescent="0.25">
      <c r="A81" s="30" t="s">
        <v>81</v>
      </c>
      <c r="B81" s="31" t="s">
        <v>82</v>
      </c>
      <c r="C81" s="32">
        <f>C82</f>
        <v>1038.4000000000001</v>
      </c>
      <c r="D81" s="32">
        <f>SUM(D82)</f>
        <v>1038.4000000000001</v>
      </c>
      <c r="E81" s="34">
        <f t="shared" si="3"/>
        <v>100</v>
      </c>
      <c r="F81" s="34">
        <f t="shared" si="4"/>
        <v>0</v>
      </c>
    </row>
    <row r="82" spans="1:7" ht="17.25" customHeight="1" x14ac:dyDescent="0.25">
      <c r="A82" s="35" t="s">
        <v>83</v>
      </c>
      <c r="B82" s="39" t="s">
        <v>225</v>
      </c>
      <c r="C82" s="37">
        <v>1038.4000000000001</v>
      </c>
      <c r="D82" s="37">
        <v>1038.4000000000001</v>
      </c>
      <c r="E82" s="38">
        <f t="shared" si="3"/>
        <v>100</v>
      </c>
      <c r="F82" s="38">
        <f t="shared" si="4"/>
        <v>0</v>
      </c>
    </row>
    <row r="83" spans="1:7" s="6" customFormat="1" ht="21.75" hidden="1" customHeight="1" x14ac:dyDescent="0.25">
      <c r="A83" s="52">
        <v>1000</v>
      </c>
      <c r="B83" s="31" t="s">
        <v>84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7" ht="18" hidden="1" customHeight="1" x14ac:dyDescent="0.25">
      <c r="A84" s="53">
        <v>1001</v>
      </c>
      <c r="B84" s="54" t="s">
        <v>85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7" ht="17.25" hidden="1" customHeight="1" x14ac:dyDescent="0.25">
      <c r="A85" s="53">
        <v>1003</v>
      </c>
      <c r="B85" s="54" t="s">
        <v>86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7" ht="23.25" hidden="1" customHeight="1" x14ac:dyDescent="0.25">
      <c r="A86" s="53">
        <v>1004</v>
      </c>
      <c r="B86" s="54" t="s">
        <v>87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7" ht="17.25" hidden="1" customHeight="1" x14ac:dyDescent="0.25">
      <c r="A87" s="35" t="s">
        <v>88</v>
      </c>
      <c r="B87" s="39" t="s">
        <v>89</v>
      </c>
      <c r="C87" s="37">
        <v>0</v>
      </c>
      <c r="D87" s="37">
        <v>0</v>
      </c>
      <c r="E87" s="38"/>
      <c r="F87" s="38">
        <f t="shared" si="4"/>
        <v>0</v>
      </c>
    </row>
    <row r="88" spans="1:7" x14ac:dyDescent="0.25">
      <c r="A88" s="30" t="s">
        <v>90</v>
      </c>
      <c r="B88" s="31" t="s">
        <v>91</v>
      </c>
      <c r="C88" s="32">
        <f>C89+C90+C91+C92+C93</f>
        <v>5.43</v>
      </c>
      <c r="D88" s="32">
        <f>D89</f>
        <v>5.43</v>
      </c>
      <c r="E88" s="38">
        <f t="shared" si="3"/>
        <v>100</v>
      </c>
      <c r="F88" s="22">
        <f>F89+F90+F91+F92+F93</f>
        <v>0</v>
      </c>
    </row>
    <row r="89" spans="1:7" ht="19.5" customHeight="1" x14ac:dyDescent="0.25">
      <c r="A89" s="35" t="s">
        <v>92</v>
      </c>
      <c r="B89" s="39" t="s">
        <v>93</v>
      </c>
      <c r="C89" s="37">
        <v>5.43</v>
      </c>
      <c r="D89" s="37">
        <v>5.43</v>
      </c>
      <c r="E89" s="38">
        <f t="shared" si="3"/>
        <v>100</v>
      </c>
      <c r="F89" s="38">
        <f>SUM(D89-C89)</f>
        <v>0</v>
      </c>
      <c r="G89" s="237"/>
    </row>
    <row r="90" spans="1:7" ht="15.75" hidden="1" customHeight="1" x14ac:dyDescent="0.25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7" ht="15.75" hidden="1" customHeight="1" x14ac:dyDescent="0.25">
      <c r="A91" s="35" t="s">
        <v>96</v>
      </c>
      <c r="B91" s="39" t="s">
        <v>97</v>
      </c>
      <c r="C91" s="37"/>
      <c r="D91" s="37" t="s">
        <v>314</v>
      </c>
      <c r="E91" s="38" t="e">
        <f t="shared" si="3"/>
        <v>#VALUE!</v>
      </c>
      <c r="F91" s="38"/>
    </row>
    <row r="92" spans="1:7" ht="15.75" hidden="1" customHeight="1" x14ac:dyDescent="0.25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7" ht="15.75" hidden="1" customHeight="1" x14ac:dyDescent="0.25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7" s="6" customFormat="1" ht="15.75" hidden="1" customHeight="1" x14ac:dyDescent="0.25">
      <c r="A94" s="52">
        <v>1400</v>
      </c>
      <c r="B94" s="56" t="s">
        <v>109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7" ht="15.75" hidden="1" customHeight="1" x14ac:dyDescent="0.25">
      <c r="A95" s="53">
        <v>1401</v>
      </c>
      <c r="B95" s="54" t="s">
        <v>110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7" ht="15.75" hidden="1" customHeight="1" x14ac:dyDescent="0.25">
      <c r="A96" s="53">
        <v>1402</v>
      </c>
      <c r="B96" s="54" t="s">
        <v>111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5.75" hidden="1" customHeight="1" x14ac:dyDescent="0.25">
      <c r="A97" s="53">
        <v>1403</v>
      </c>
      <c r="B97" s="54" t="s">
        <v>112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8" s="6" customFormat="1" ht="15.75" customHeight="1" x14ac:dyDescent="0.25">
      <c r="A98" s="52"/>
      <c r="B98" s="57" t="s">
        <v>113</v>
      </c>
      <c r="C98" s="266">
        <f>C56+C64+C66+C72+C77+C81+C83+C88+C94</f>
        <v>8636.5371700000014</v>
      </c>
      <c r="D98" s="243">
        <f>D56+D64+D66+D72+D77+D81+D83+D88+D94</f>
        <v>8344.0469200000007</v>
      </c>
      <c r="E98" s="34">
        <f t="shared" si="3"/>
        <v>96.613338838904099</v>
      </c>
      <c r="F98" s="34">
        <f t="shared" si="4"/>
        <v>-292.49025000000074</v>
      </c>
      <c r="G98" s="193"/>
      <c r="H98" s="193"/>
    </row>
    <row r="99" spans="1:8" x14ac:dyDescent="0.25">
      <c r="C99" s="124"/>
      <c r="D99" s="100"/>
    </row>
    <row r="100" spans="1:8" s="65" customFormat="1" ht="16.5" customHeight="1" x14ac:dyDescent="0.2">
      <c r="A100" s="63" t="s">
        <v>114</v>
      </c>
      <c r="B100" s="63"/>
      <c r="C100" s="178"/>
      <c r="D100" s="178"/>
      <c r="E100" s="238"/>
    </row>
    <row r="101" spans="1:8" s="65" customFormat="1" ht="20.25" customHeight="1" x14ac:dyDescent="0.2">
      <c r="A101" s="66" t="s">
        <v>115</v>
      </c>
      <c r="B101" s="66"/>
      <c r="C101" s="65" t="s">
        <v>116</v>
      </c>
    </row>
    <row r="102" spans="1:8" ht="13.5" customHeight="1" x14ac:dyDescent="0.25">
      <c r="C102" s="118"/>
    </row>
    <row r="104" spans="1:8" ht="5.25" customHeight="1" x14ac:dyDescent="0.25"/>
    <row r="142" hidden="1" x14ac:dyDescent="0.25"/>
  </sheetData>
  <customSheetViews>
    <customSheetView guid="{4D5E6ACC-9055-4DE9-8C20-9052F3C35D19}" scale="70" showPageBreaks="1" hiddenRows="1" state="hidden" view="pageBreakPreview" topLeftCell="A38">
      <selection activeCell="D89" sqref="D89"/>
      <pageMargins left="0.70866141732283472" right="0.70866141732283472" top="0.74803149606299213" bottom="0.74803149606299213" header="0.31496062992125984" footer="0.31496062992125984"/>
      <pageSetup paperSize="9" scale="52" orientation="portrait" r:id="rId1"/>
    </customSheetView>
    <customSheetView guid="{5C539BE6-C8E0-453F-AB5E-9E58094195EA}" scale="70" showPageBreaks="1" hiddenRows="1" view="pageBreakPreview" topLeftCell="A35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2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scale="70" showPageBreaks="1" printArea="1" hiddenRows="1" view="pageBreakPreview" topLeftCell="A22">
      <selection activeCell="C51" sqref="C51:D52"/>
      <pageMargins left="0.7" right="0.7" top="0.75" bottom="0.75" header="0.3" footer="0.3"/>
      <pageSetup paperSize="9" scale="52" orientation="portrait" r:id="rId5"/>
    </customSheetView>
    <customSheetView guid="{B31C8DB7-3E78-4144-A6B5-8DE36DE63F0E}" hiddenRows="1" topLeftCell="A46">
      <selection activeCell="D89" sqref="D89"/>
      <pageMargins left="0.7" right="0.7" top="0.75" bottom="0.75" header="0.3" footer="0.3"/>
      <pageSetup paperSize="9" scale="52" orientation="portrait" r:id="rId6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7"/>
    </customSheetView>
    <customSheetView guid="{B30CE22D-C12F-4E12-8BB9-3AAE0A6991CC}" scale="70" showPageBreaks="1" printArea="1" hiddenRows="1" view="pageBreakPreview" topLeftCell="A7">
      <selection activeCell="D89" sqref="D89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9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10"/>
    </customSheetView>
    <customSheetView guid="{F85EE840-0C31-454A-8951-832C2E9E0600}" scale="70" showPageBreaks="1" hiddenRows="1" state="hidden" view="pageBreakPreview">
      <selection activeCell="C69" sqref="C69"/>
      <pageMargins left="0.70866141732283472" right="0.70866141732283472" top="0.74803149606299213" bottom="0.74803149606299213" header="0.31496062992125984" footer="0.31496062992125984"/>
      <pageSetup paperSize="9" scale="52" orientation="portrait" r:id="rId11"/>
    </customSheetView>
    <customSheetView guid="{F1E84C44-1ACD-474A-BDE0-C7088DB6C590}" scale="70" showPageBreaks="1" hiddenRows="1" state="hidden" view="pageBreakPreview" topLeftCell="A38">
      <selection activeCell="D89" sqref="D89"/>
      <pageMargins left="0.70866141732283472" right="0.70866141732283472" top="0.74803149606299213" bottom="0.74803149606299213" header="0.31496062992125984" footer="0.31496062992125984"/>
      <pageSetup paperSize="9" scale="52" orientation="portrait" r:id="rId12"/>
    </customSheetView>
    <customSheetView guid="{61528DAC-5C4C-48F4-ADE2-8A724B05A086}" scale="70" showPageBreaks="1" hiddenRows="1" state="hidden" view="pageBreakPreview" topLeftCell="A38">
      <selection activeCell="D89" sqref="D89"/>
      <pageMargins left="0.70866141732283472" right="0.70866141732283472" top="0.74803149606299213" bottom="0.74803149606299213" header="0.31496062992125984" footer="0.31496062992125984"/>
      <pageSetup paperSize="9" scale="52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L142"/>
  <sheetViews>
    <sheetView view="pageBreakPreview" topLeftCell="A37" zoomScale="70" zoomScaleNormal="100" zoomScaleSheetLayoutView="70" workbookViewId="0">
      <selection activeCell="D89" sqref="D89"/>
    </sheetView>
  </sheetViews>
  <sheetFormatPr defaultRowHeight="15.75" x14ac:dyDescent="0.25"/>
  <cols>
    <col min="1" max="1" width="14.7109375" style="58" customWidth="1"/>
    <col min="2" max="2" width="55.140625" style="59" customWidth="1"/>
    <col min="3" max="3" width="17.2851562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x14ac:dyDescent="0.25">
      <c r="A1" s="600" t="s">
        <v>414</v>
      </c>
      <c r="B1" s="600"/>
      <c r="C1" s="600"/>
      <c r="D1" s="600"/>
      <c r="E1" s="600"/>
      <c r="F1" s="600"/>
    </row>
    <row r="2" spans="1:6" x14ac:dyDescent="0.25">
      <c r="A2" s="599"/>
      <c r="B2" s="599"/>
      <c r="C2" s="599"/>
      <c r="D2" s="599"/>
      <c r="E2" s="599"/>
      <c r="F2" s="599"/>
    </row>
    <row r="3" spans="1:6" ht="63" x14ac:dyDescent="0.25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 x14ac:dyDescent="0.25">
      <c r="A4" s="3"/>
      <c r="B4" s="4" t="s">
        <v>4</v>
      </c>
      <c r="C4" s="5">
        <f>C5+C12+C14+C17+C7</f>
        <v>890.2</v>
      </c>
      <c r="D4" s="5">
        <f>D5+D12+D14+D17+D7</f>
        <v>1003.48464</v>
      </c>
      <c r="E4" s="5">
        <f>SUM(D4/C4*100)</f>
        <v>112.72575151651314</v>
      </c>
      <c r="F4" s="5">
        <f>SUM(D4-C4)</f>
        <v>113.28463999999997</v>
      </c>
    </row>
    <row r="5" spans="1:6" s="6" customFormat="1" x14ac:dyDescent="0.25">
      <c r="A5" s="68">
        <v>1010000000</v>
      </c>
      <c r="B5" s="67" t="s">
        <v>5</v>
      </c>
      <c r="C5" s="5">
        <f>C6</f>
        <v>60</v>
      </c>
      <c r="D5" s="5">
        <f>D6</f>
        <v>54.596049999999998</v>
      </c>
      <c r="E5" s="5">
        <f t="shared" ref="E5:E51" si="0">SUM(D5/C5*100)</f>
        <v>90.993416666666661</v>
      </c>
      <c r="F5" s="5">
        <f t="shared" ref="F5:F51" si="1">SUM(D5-C5)</f>
        <v>-5.4039500000000018</v>
      </c>
    </row>
    <row r="6" spans="1:6" x14ac:dyDescent="0.25">
      <c r="A6" s="7">
        <v>1010200001</v>
      </c>
      <c r="B6" s="8" t="s">
        <v>220</v>
      </c>
      <c r="C6" s="9">
        <v>60</v>
      </c>
      <c r="D6" s="10">
        <v>54.596049999999998</v>
      </c>
      <c r="E6" s="9">
        <f t="shared" ref="E6:E11" si="2">SUM(D6/C6*100)</f>
        <v>90.993416666666661</v>
      </c>
      <c r="F6" s="9">
        <f t="shared" si="1"/>
        <v>-5.4039500000000018</v>
      </c>
    </row>
    <row r="7" spans="1:6" ht="31.5" x14ac:dyDescent="0.25">
      <c r="A7" s="3">
        <v>1030000000</v>
      </c>
      <c r="B7" s="13" t="s">
        <v>259</v>
      </c>
      <c r="C7" s="5">
        <f>C8+C10+C9</f>
        <v>420.20000000000005</v>
      </c>
      <c r="D7" s="5">
        <f>D8+D10+D9+D11</f>
        <v>496.80062000000004</v>
      </c>
      <c r="E7" s="5">
        <f t="shared" si="2"/>
        <v>118.2295621132794</v>
      </c>
      <c r="F7" s="5">
        <f t="shared" si="1"/>
        <v>76.600619999999992</v>
      </c>
    </row>
    <row r="8" spans="1:6" x14ac:dyDescent="0.25">
      <c r="A8" s="7">
        <v>1030223001</v>
      </c>
      <c r="B8" s="8" t="s">
        <v>261</v>
      </c>
      <c r="C8" s="9">
        <v>156.73500000000001</v>
      </c>
      <c r="D8" s="10">
        <v>249.04965000000001</v>
      </c>
      <c r="E8" s="9">
        <f t="shared" si="2"/>
        <v>158.89855488563498</v>
      </c>
      <c r="F8" s="9">
        <f t="shared" si="1"/>
        <v>92.31465</v>
      </c>
    </row>
    <row r="9" spans="1:6" x14ac:dyDescent="0.25">
      <c r="A9" s="7">
        <v>1030224001</v>
      </c>
      <c r="B9" s="8" t="s">
        <v>267</v>
      </c>
      <c r="C9" s="9">
        <v>1.68</v>
      </c>
      <c r="D9" s="10">
        <v>1.3452599999999999</v>
      </c>
      <c r="E9" s="9">
        <f t="shared" si="2"/>
        <v>80.075000000000003</v>
      </c>
      <c r="F9" s="9">
        <f t="shared" si="1"/>
        <v>-0.33474000000000004</v>
      </c>
    </row>
    <row r="10" spans="1:6" x14ac:dyDescent="0.25">
      <c r="A10" s="7">
        <v>1030225001</v>
      </c>
      <c r="B10" s="8" t="s">
        <v>260</v>
      </c>
      <c r="C10" s="9">
        <v>261.78500000000003</v>
      </c>
      <c r="D10" s="10">
        <v>274.97894000000002</v>
      </c>
      <c r="E10" s="9">
        <f t="shared" si="2"/>
        <v>105.03999083217144</v>
      </c>
      <c r="F10" s="9">
        <f t="shared" si="1"/>
        <v>13.193939999999998</v>
      </c>
    </row>
    <row r="11" spans="1:6" x14ac:dyDescent="0.25">
      <c r="A11" s="7">
        <v>1030226001</v>
      </c>
      <c r="B11" s="8" t="s">
        <v>269</v>
      </c>
      <c r="C11" s="9">
        <v>0</v>
      </c>
      <c r="D11" s="10">
        <v>-28.573229999999999</v>
      </c>
      <c r="E11" s="9" t="e">
        <f t="shared" si="2"/>
        <v>#DIV/0!</v>
      </c>
      <c r="F11" s="9">
        <f t="shared" si="1"/>
        <v>-28.573229999999999</v>
      </c>
    </row>
    <row r="12" spans="1:6" s="6" customFormat="1" x14ac:dyDescent="0.25">
      <c r="A12" s="68">
        <v>1050000000</v>
      </c>
      <c r="B12" s="67" t="s">
        <v>6</v>
      </c>
      <c r="C12" s="5">
        <f>SUM(C13:C13)</f>
        <v>10</v>
      </c>
      <c r="D12" s="5">
        <f>SUM(D13:D13)</f>
        <v>3.4327999999999999</v>
      </c>
      <c r="E12" s="5">
        <f t="shared" si="0"/>
        <v>34.327999999999996</v>
      </c>
      <c r="F12" s="5">
        <f t="shared" si="1"/>
        <v>-6.5671999999999997</v>
      </c>
    </row>
    <row r="13" spans="1:6" ht="15.75" customHeight="1" x14ac:dyDescent="0.25">
      <c r="A13" s="7">
        <v>1050300000</v>
      </c>
      <c r="B13" s="11" t="s">
        <v>221</v>
      </c>
      <c r="C13" s="12">
        <v>10</v>
      </c>
      <c r="D13" s="10">
        <v>3.4327999999999999</v>
      </c>
      <c r="E13" s="9">
        <f t="shared" si="0"/>
        <v>34.327999999999996</v>
      </c>
      <c r="F13" s="9">
        <f t="shared" si="1"/>
        <v>-6.5671999999999997</v>
      </c>
    </row>
    <row r="14" spans="1:6" s="6" customFormat="1" ht="15.75" customHeight="1" x14ac:dyDescent="0.25">
      <c r="A14" s="68">
        <v>1060000000</v>
      </c>
      <c r="B14" s="67" t="s">
        <v>129</v>
      </c>
      <c r="C14" s="5">
        <f>C15+C16</f>
        <v>397</v>
      </c>
      <c r="D14" s="5">
        <f>D15+D16</f>
        <v>446.65517</v>
      </c>
      <c r="E14" s="5">
        <f t="shared" si="0"/>
        <v>112.50759949622167</v>
      </c>
      <c r="F14" s="5">
        <f t="shared" si="1"/>
        <v>49.655169999999998</v>
      </c>
    </row>
    <row r="15" spans="1:6" s="6" customFormat="1" ht="15.75" customHeight="1" x14ac:dyDescent="0.25">
      <c r="A15" s="7">
        <v>1060100000</v>
      </c>
      <c r="B15" s="11" t="s">
        <v>8</v>
      </c>
      <c r="C15" s="9">
        <v>90</v>
      </c>
      <c r="D15" s="10">
        <v>127.09181</v>
      </c>
      <c r="E15" s="9">
        <f t="shared" si="0"/>
        <v>141.21312222222221</v>
      </c>
      <c r="F15" s="9">
        <f>SUM(D15-C15)</f>
        <v>37.091809999999995</v>
      </c>
    </row>
    <row r="16" spans="1:6" ht="15.75" customHeight="1" x14ac:dyDescent="0.25">
      <c r="A16" s="7">
        <v>1060600000</v>
      </c>
      <c r="B16" s="11" t="s">
        <v>7</v>
      </c>
      <c r="C16" s="9">
        <v>307</v>
      </c>
      <c r="D16" s="10">
        <v>319.56335999999999</v>
      </c>
      <c r="E16" s="9">
        <f t="shared" si="0"/>
        <v>104.0922996742671</v>
      </c>
      <c r="F16" s="9">
        <f t="shared" si="1"/>
        <v>12.563359999999989</v>
      </c>
    </row>
    <row r="17" spans="1:6" s="6" customFormat="1" x14ac:dyDescent="0.25">
      <c r="A17" s="3">
        <v>1080000000</v>
      </c>
      <c r="B17" s="4" t="s">
        <v>10</v>
      </c>
      <c r="C17" s="5">
        <f>C18</f>
        <v>3</v>
      </c>
      <c r="D17" s="5">
        <f>D18</f>
        <v>2</v>
      </c>
      <c r="E17" s="5">
        <f t="shared" si="0"/>
        <v>66.666666666666657</v>
      </c>
      <c r="F17" s="5">
        <f t="shared" si="1"/>
        <v>-1</v>
      </c>
    </row>
    <row r="18" spans="1:6" ht="16.5" customHeight="1" x14ac:dyDescent="0.25">
      <c r="A18" s="7">
        <v>1080400001</v>
      </c>
      <c r="B18" s="8" t="s">
        <v>219</v>
      </c>
      <c r="C18" s="9">
        <v>3</v>
      </c>
      <c r="D18" s="10">
        <v>2</v>
      </c>
      <c r="E18" s="9">
        <f t="shared" si="0"/>
        <v>66.666666666666657</v>
      </c>
      <c r="F18" s="9">
        <f t="shared" si="1"/>
        <v>-1</v>
      </c>
    </row>
    <row r="19" spans="1:6" ht="47.25" hidden="1" customHeight="1" x14ac:dyDescent="0.25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 x14ac:dyDescent="0.25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 x14ac:dyDescent="0.25">
      <c r="A21" s="7">
        <v>1090100000</v>
      </c>
      <c r="B21" s="8" t="s">
        <v>118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 x14ac:dyDescent="0.25">
      <c r="A22" s="7">
        <v>1090400000</v>
      </c>
      <c r="B22" s="8" t="s">
        <v>224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 x14ac:dyDescent="0.25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 x14ac:dyDescent="0.25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 x14ac:dyDescent="0.25">
      <c r="A25" s="3"/>
      <c r="B25" s="4" t="s">
        <v>12</v>
      </c>
      <c r="C25" s="5">
        <f>C26+C29+C31+C37+C34</f>
        <v>1861.0668999999998</v>
      </c>
      <c r="D25" s="5">
        <f>D26+D29+D31+D37+D34</f>
        <v>2107.9673899999998</v>
      </c>
      <c r="E25" s="5">
        <f t="shared" si="0"/>
        <v>113.26661013636856</v>
      </c>
      <c r="F25" s="5">
        <f t="shared" si="1"/>
        <v>246.90048999999999</v>
      </c>
    </row>
    <row r="26" spans="1:6" s="6" customFormat="1" ht="30" customHeight="1" x14ac:dyDescent="0.25">
      <c r="A26" s="68">
        <v>1110000000</v>
      </c>
      <c r="B26" s="69" t="s">
        <v>122</v>
      </c>
      <c r="C26" s="5">
        <f>C27+C28</f>
        <v>200</v>
      </c>
      <c r="D26" s="5">
        <f>D27+D28</f>
        <v>266.81849999999997</v>
      </c>
      <c r="E26" s="5">
        <f t="shared" si="0"/>
        <v>133.40924999999999</v>
      </c>
      <c r="F26" s="5">
        <f t="shared" si="1"/>
        <v>66.818499999999972</v>
      </c>
    </row>
    <row r="27" spans="1:6" x14ac:dyDescent="0.25">
      <c r="A27" s="16">
        <v>1110502510</v>
      </c>
      <c r="B27" s="17" t="s">
        <v>217</v>
      </c>
      <c r="C27" s="12">
        <v>180</v>
      </c>
      <c r="D27" s="10">
        <v>240.8073</v>
      </c>
      <c r="E27" s="9">
        <f t="shared" si="0"/>
        <v>133.78183333333334</v>
      </c>
      <c r="F27" s="9">
        <f t="shared" si="1"/>
        <v>60.807299999999998</v>
      </c>
    </row>
    <row r="28" spans="1:6" ht="18.75" customHeight="1" x14ac:dyDescent="0.25">
      <c r="A28" s="7">
        <v>1110503505</v>
      </c>
      <c r="B28" s="11" t="s">
        <v>216</v>
      </c>
      <c r="C28" s="12">
        <v>20</v>
      </c>
      <c r="D28" s="10">
        <v>26.011199999999999</v>
      </c>
      <c r="E28" s="9">
        <f t="shared" si="0"/>
        <v>130.05599999999998</v>
      </c>
      <c r="F28" s="9">
        <f t="shared" si="1"/>
        <v>6.0111999999999988</v>
      </c>
    </row>
    <row r="29" spans="1:6" s="15" customFormat="1" ht="37.5" customHeight="1" x14ac:dyDescent="0.25">
      <c r="A29" s="68">
        <v>1130000000</v>
      </c>
      <c r="B29" s="69" t="s">
        <v>124</v>
      </c>
      <c r="C29" s="5">
        <f>C30</f>
        <v>30</v>
      </c>
      <c r="D29" s="5">
        <f>D30</f>
        <v>32.162050000000001</v>
      </c>
      <c r="E29" s="5">
        <f t="shared" si="0"/>
        <v>107.20683333333334</v>
      </c>
      <c r="F29" s="5">
        <f t="shared" si="1"/>
        <v>2.1620500000000007</v>
      </c>
    </row>
    <row r="30" spans="1:6" ht="29.25" customHeight="1" x14ac:dyDescent="0.25">
      <c r="A30" s="7">
        <v>1130206005</v>
      </c>
      <c r="B30" s="8" t="s">
        <v>397</v>
      </c>
      <c r="C30" s="9">
        <v>30</v>
      </c>
      <c r="D30" s="10">
        <v>32.162050000000001</v>
      </c>
      <c r="E30" s="9">
        <f t="shared" si="0"/>
        <v>107.20683333333334</v>
      </c>
      <c r="F30" s="9">
        <f t="shared" si="1"/>
        <v>2.1620500000000007</v>
      </c>
    </row>
    <row r="31" spans="1:6" ht="42" customHeight="1" x14ac:dyDescent="0.25">
      <c r="A31" s="70">
        <v>1140000000</v>
      </c>
      <c r="B31" s="71" t="s">
        <v>125</v>
      </c>
      <c r="C31" s="5">
        <f>C32+C33</f>
        <v>1294.56</v>
      </c>
      <c r="D31" s="5">
        <f>D32+D33</f>
        <v>1320.396</v>
      </c>
      <c r="E31" s="5">
        <f t="shared" si="0"/>
        <v>101.99573600296625</v>
      </c>
      <c r="F31" s="5">
        <f t="shared" si="1"/>
        <v>25.836000000000013</v>
      </c>
    </row>
    <row r="32" spans="1:6" ht="40.5" customHeight="1" x14ac:dyDescent="0.25">
      <c r="A32" s="16">
        <v>1140200000</v>
      </c>
      <c r="B32" s="18" t="s">
        <v>213</v>
      </c>
      <c r="C32" s="9">
        <v>944.6</v>
      </c>
      <c r="D32" s="10">
        <v>970.43600000000004</v>
      </c>
      <c r="E32" s="9">
        <f t="shared" si="0"/>
        <v>102.73512597925047</v>
      </c>
      <c r="F32" s="9">
        <f t="shared" si="1"/>
        <v>25.836000000000013</v>
      </c>
    </row>
    <row r="33" spans="1:7" ht="36.75" customHeight="1" x14ac:dyDescent="0.25">
      <c r="A33" s="7">
        <v>1140600000</v>
      </c>
      <c r="B33" s="8" t="s">
        <v>214</v>
      </c>
      <c r="C33" s="9">
        <v>349.96</v>
      </c>
      <c r="D33" s="10">
        <v>349.96</v>
      </c>
      <c r="E33" s="9">
        <f t="shared" si="0"/>
        <v>100</v>
      </c>
      <c r="F33" s="9">
        <f t="shared" si="1"/>
        <v>0</v>
      </c>
    </row>
    <row r="34" spans="1:7" ht="15" customHeight="1" x14ac:dyDescent="0.25">
      <c r="A34" s="3">
        <v>1160000000</v>
      </c>
      <c r="B34" s="13" t="s">
        <v>236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63" hidden="1" x14ac:dyDescent="0.25">
      <c r="A35" s="7">
        <v>1163305010</v>
      </c>
      <c r="B35" s="8" t="s">
        <v>251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 hidden="1" x14ac:dyDescent="0.25">
      <c r="A36" s="7">
        <v>1169005010</v>
      </c>
      <c r="B36" s="8" t="s">
        <v>317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 x14ac:dyDescent="0.25">
      <c r="A37" s="3">
        <v>1170000000</v>
      </c>
      <c r="B37" s="13" t="s">
        <v>128</v>
      </c>
      <c r="C37" s="5">
        <f>C38+C39</f>
        <v>336.50689999999997</v>
      </c>
      <c r="D37" s="5">
        <f>D38+D39</f>
        <v>488.59084000000001</v>
      </c>
      <c r="E37" s="5">
        <f t="shared" si="0"/>
        <v>145.19489496352082</v>
      </c>
      <c r="F37" s="5">
        <f t="shared" si="1"/>
        <v>152.08394000000004</v>
      </c>
    </row>
    <row r="38" spans="1:7" ht="15.75" customHeight="1" x14ac:dyDescent="0.25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 x14ac:dyDescent="0.25">
      <c r="A39" s="7">
        <v>1171503010</v>
      </c>
      <c r="B39" s="11" t="s">
        <v>406</v>
      </c>
      <c r="C39" s="9">
        <v>336.50689999999997</v>
      </c>
      <c r="D39" s="10">
        <v>488.59084000000001</v>
      </c>
      <c r="E39" s="9">
        <f t="shared" si="0"/>
        <v>145.19489496352082</v>
      </c>
      <c r="F39" s="9">
        <f t="shared" si="1"/>
        <v>152.08394000000004</v>
      </c>
    </row>
    <row r="40" spans="1:7" s="6" customFormat="1" x14ac:dyDescent="0.25">
      <c r="A40" s="3">
        <v>1000000000</v>
      </c>
      <c r="B40" s="4" t="s">
        <v>16</v>
      </c>
      <c r="C40" s="125">
        <f>SUM(C4,C25)</f>
        <v>2751.2668999999996</v>
      </c>
      <c r="D40" s="125">
        <f>D4+D25</f>
        <v>3111.4520299999999</v>
      </c>
      <c r="E40" s="5">
        <f t="shared" si="0"/>
        <v>113.09160990524039</v>
      </c>
      <c r="F40" s="5">
        <f t="shared" si="1"/>
        <v>360.1851300000003</v>
      </c>
    </row>
    <row r="41" spans="1:7" s="6" customFormat="1" x14ac:dyDescent="0.25">
      <c r="A41" s="3">
        <v>2000000000</v>
      </c>
      <c r="B41" s="4" t="s">
        <v>17</v>
      </c>
      <c r="C41" s="5">
        <f>C42+C43+C44+C45+C46+C47+C50</f>
        <v>7033.0034999999998</v>
      </c>
      <c r="D41" s="5">
        <f>D42+D43+D44+D45+D46+D47+D50</f>
        <v>6876.0804500000004</v>
      </c>
      <c r="E41" s="5">
        <f t="shared" si="0"/>
        <v>97.768761952130419</v>
      </c>
      <c r="F41" s="5">
        <f t="shared" si="1"/>
        <v>-156.92304999999942</v>
      </c>
      <c r="G41" s="19"/>
    </row>
    <row r="42" spans="1:7" ht="16.5" customHeight="1" x14ac:dyDescent="0.25">
      <c r="A42" s="16">
        <v>2021000000</v>
      </c>
      <c r="B42" s="17" t="s">
        <v>18</v>
      </c>
      <c r="C42" s="12">
        <v>1897.8</v>
      </c>
      <c r="D42" s="12">
        <v>1897.8</v>
      </c>
      <c r="E42" s="9">
        <f t="shared" si="0"/>
        <v>100</v>
      </c>
      <c r="F42" s="9">
        <f t="shared" si="1"/>
        <v>0</v>
      </c>
    </row>
    <row r="43" spans="1:7" ht="15.75" customHeight="1" x14ac:dyDescent="0.25">
      <c r="A43" s="16">
        <v>2021500200</v>
      </c>
      <c r="B43" s="17" t="s">
        <v>223</v>
      </c>
      <c r="C43" s="12"/>
      <c r="D43" s="20">
        <v>0</v>
      </c>
      <c r="E43" s="9" t="e">
        <f t="shared" si="0"/>
        <v>#DIV/0!</v>
      </c>
      <c r="F43" s="9">
        <f t="shared" si="1"/>
        <v>0</v>
      </c>
    </row>
    <row r="44" spans="1:7" ht="18" customHeight="1" x14ac:dyDescent="0.25">
      <c r="A44" s="16">
        <v>2022000000</v>
      </c>
      <c r="B44" s="17" t="s">
        <v>19</v>
      </c>
      <c r="C44" s="12">
        <v>4067.5971199999999</v>
      </c>
      <c r="D44" s="10">
        <v>3921.6578399999999</v>
      </c>
      <c r="E44" s="9">
        <f t="shared" si="0"/>
        <v>96.412150080389466</v>
      </c>
      <c r="F44" s="9">
        <f t="shared" si="1"/>
        <v>-145.93928000000005</v>
      </c>
    </row>
    <row r="45" spans="1:7" ht="15.75" customHeight="1" x14ac:dyDescent="0.25">
      <c r="A45" s="16">
        <v>2023000000</v>
      </c>
      <c r="B45" s="17" t="s">
        <v>20</v>
      </c>
      <c r="C45" s="12">
        <v>117.81358</v>
      </c>
      <c r="D45" s="180">
        <v>117.81358</v>
      </c>
      <c r="E45" s="9">
        <f t="shared" si="0"/>
        <v>100</v>
      </c>
      <c r="F45" s="9">
        <f t="shared" si="1"/>
        <v>0</v>
      </c>
    </row>
    <row r="46" spans="1:7" ht="15" customHeight="1" x14ac:dyDescent="0.25">
      <c r="A46" s="16">
        <v>2024000000</v>
      </c>
      <c r="B46" s="17" t="s">
        <v>21</v>
      </c>
      <c r="C46" s="12">
        <v>949.79280000000006</v>
      </c>
      <c r="D46" s="181">
        <v>938.80903000000001</v>
      </c>
      <c r="E46" s="9">
        <f t="shared" si="0"/>
        <v>98.843561458878185</v>
      </c>
      <c r="F46" s="9">
        <f t="shared" si="1"/>
        <v>-10.98377000000005</v>
      </c>
    </row>
    <row r="47" spans="1:7" ht="30.75" hidden="1" customHeight="1" x14ac:dyDescent="0.25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28.5" hidden="1" customHeight="1" x14ac:dyDescent="0.25">
      <c r="A48" s="16">
        <v>2080500010</v>
      </c>
      <c r="B48" s="18" t="s">
        <v>240</v>
      </c>
      <c r="C48" s="12"/>
      <c r="D48" s="181"/>
      <c r="E48" s="9"/>
      <c r="F48" s="9"/>
    </row>
    <row r="49" spans="1:8" s="6" customFormat="1" ht="43.5" hidden="1" customHeight="1" x14ac:dyDescent="0.25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 x14ac:dyDescent="0.25">
      <c r="A50" s="16">
        <v>2070500000</v>
      </c>
      <c r="B50" s="8" t="s">
        <v>325</v>
      </c>
      <c r="C50" s="12"/>
      <c r="D50" s="10"/>
      <c r="E50" s="9" t="e">
        <f t="shared" si="0"/>
        <v>#DIV/0!</v>
      </c>
      <c r="F50" s="9">
        <f t="shared" si="1"/>
        <v>0</v>
      </c>
    </row>
    <row r="51" spans="1:8" s="6" customFormat="1" ht="17.25" customHeight="1" x14ac:dyDescent="0.25">
      <c r="A51" s="7"/>
      <c r="B51" s="4" t="s">
        <v>25</v>
      </c>
      <c r="C51" s="244">
        <f>C40+C41</f>
        <v>9784.2703999999994</v>
      </c>
      <c r="D51" s="245">
        <f>D40+D41</f>
        <v>9987.5324799999999</v>
      </c>
      <c r="E51" s="92">
        <f t="shared" si="0"/>
        <v>102.0774372711531</v>
      </c>
      <c r="F51" s="92">
        <f t="shared" si="1"/>
        <v>203.26208000000042</v>
      </c>
      <c r="G51" s="93"/>
      <c r="H51" s="239"/>
    </row>
    <row r="52" spans="1:8" s="6" customFormat="1" ht="16.5" customHeight="1" x14ac:dyDescent="0.25">
      <c r="A52" s="7"/>
      <c r="B52" s="21" t="s">
        <v>300</v>
      </c>
      <c r="C52" s="244">
        <f>C51-C98</f>
        <v>-327.20116000000235</v>
      </c>
      <c r="D52" s="244">
        <f>D51-D98</f>
        <v>109.07664000000113</v>
      </c>
      <c r="E52" s="188"/>
      <c r="F52" s="188"/>
    </row>
    <row r="53" spans="1:8" x14ac:dyDescent="0.25">
      <c r="A53" s="3"/>
      <c r="B53" s="24"/>
      <c r="C53" s="208"/>
      <c r="D53" s="208"/>
      <c r="E53" s="26"/>
      <c r="F53" s="27"/>
    </row>
    <row r="54" spans="1:8" ht="32.25" customHeight="1" x14ac:dyDescent="0.25">
      <c r="A54" s="23"/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8" ht="47.25" customHeight="1" x14ac:dyDescent="0.25">
      <c r="A55" s="28" t="s">
        <v>0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x14ac:dyDescent="0.25">
      <c r="A56" s="29">
        <v>1</v>
      </c>
      <c r="B56" s="31" t="s">
        <v>28</v>
      </c>
      <c r="C56" s="387">
        <f>C57+C58+C59+C60+C61+C63+C62</f>
        <v>1621.973</v>
      </c>
      <c r="D56" s="33">
        <f>D57+D58+D59+D60+D61+D63+D62</f>
        <v>1574.0285399999998</v>
      </c>
      <c r="E56" s="34">
        <f>SUM(D56/C56*100)</f>
        <v>97.044065468414075</v>
      </c>
      <c r="F56" s="34">
        <f>SUM(D56-C56)</f>
        <v>-47.944460000000163</v>
      </c>
    </row>
    <row r="57" spans="1:8" s="6" customFormat="1" ht="15.75" hidden="1" customHeight="1" x14ac:dyDescent="0.25">
      <c r="A57" s="30" t="s">
        <v>27</v>
      </c>
      <c r="B57" s="36" t="s">
        <v>30</v>
      </c>
      <c r="C57" s="189"/>
      <c r="D57" s="189"/>
      <c r="E57" s="38"/>
      <c r="F57" s="38"/>
    </row>
    <row r="58" spans="1:8" ht="17.25" customHeight="1" x14ac:dyDescent="0.25">
      <c r="A58" s="35" t="s">
        <v>31</v>
      </c>
      <c r="B58" s="39" t="s">
        <v>32</v>
      </c>
      <c r="C58" s="189">
        <v>1593.9970000000001</v>
      </c>
      <c r="D58" s="189">
        <v>1551.0525399999999</v>
      </c>
      <c r="E58" s="38">
        <f t="shared" ref="E58:E98" si="3">SUM(D58/C58*100)</f>
        <v>97.305863185438852</v>
      </c>
      <c r="F58" s="38">
        <f t="shared" ref="F58:F98" si="4">SUM(D58-C58)</f>
        <v>-42.944460000000163</v>
      </c>
    </row>
    <row r="59" spans="1:8" ht="17.25" hidden="1" customHeight="1" x14ac:dyDescent="0.25">
      <c r="A59" s="35" t="s">
        <v>31</v>
      </c>
      <c r="B59" s="39" t="s">
        <v>34</v>
      </c>
      <c r="C59" s="189"/>
      <c r="D59" s="189"/>
      <c r="E59" s="38"/>
      <c r="F59" s="38">
        <f t="shared" si="4"/>
        <v>0</v>
      </c>
    </row>
    <row r="60" spans="1:8" ht="15.75" hidden="1" customHeight="1" x14ac:dyDescent="0.25">
      <c r="A60" s="35" t="s">
        <v>33</v>
      </c>
      <c r="B60" s="39" t="s">
        <v>36</v>
      </c>
      <c r="C60" s="189"/>
      <c r="D60" s="189"/>
      <c r="E60" s="38" t="e">
        <f t="shared" si="3"/>
        <v>#DIV/0!</v>
      </c>
      <c r="F60" s="38">
        <f t="shared" si="4"/>
        <v>0</v>
      </c>
    </row>
    <row r="61" spans="1:8" ht="15" customHeight="1" x14ac:dyDescent="0.25">
      <c r="A61" s="35" t="s">
        <v>37</v>
      </c>
      <c r="B61" s="39" t="s">
        <v>38</v>
      </c>
      <c r="C61" s="189"/>
      <c r="D61" s="189">
        <v>0</v>
      </c>
      <c r="E61" s="38" t="e">
        <f t="shared" si="3"/>
        <v>#DIV/0!</v>
      </c>
      <c r="F61" s="38">
        <f t="shared" si="4"/>
        <v>0</v>
      </c>
    </row>
    <row r="62" spans="1:8" ht="15.75" customHeight="1" x14ac:dyDescent="0.25">
      <c r="A62" s="35" t="s">
        <v>39</v>
      </c>
      <c r="B62" s="39" t="s">
        <v>40</v>
      </c>
      <c r="C62" s="190">
        <v>5</v>
      </c>
      <c r="D62" s="190">
        <v>0</v>
      </c>
      <c r="E62" s="38">
        <f t="shared" si="3"/>
        <v>0</v>
      </c>
      <c r="F62" s="38">
        <f t="shared" si="4"/>
        <v>-5</v>
      </c>
    </row>
    <row r="63" spans="1:8" ht="19.5" customHeight="1" x14ac:dyDescent="0.25">
      <c r="A63" s="35" t="s">
        <v>41</v>
      </c>
      <c r="B63" s="39" t="s">
        <v>42</v>
      </c>
      <c r="C63" s="189">
        <v>22.975999999999999</v>
      </c>
      <c r="D63" s="189">
        <v>22.975999999999999</v>
      </c>
      <c r="E63" s="38">
        <f t="shared" si="3"/>
        <v>100</v>
      </c>
      <c r="F63" s="38">
        <f t="shared" si="4"/>
        <v>0</v>
      </c>
    </row>
    <row r="64" spans="1:8" s="6" customFormat="1" x14ac:dyDescent="0.25">
      <c r="A64" s="30" t="s">
        <v>43</v>
      </c>
      <c r="B64" s="42" t="s">
        <v>44</v>
      </c>
      <c r="C64" s="33">
        <f>C65</f>
        <v>110.66728000000001</v>
      </c>
      <c r="D64" s="33">
        <f>D65</f>
        <v>110.66728000000001</v>
      </c>
      <c r="E64" s="34">
        <f t="shared" si="3"/>
        <v>100</v>
      </c>
      <c r="F64" s="34">
        <f t="shared" si="4"/>
        <v>0</v>
      </c>
    </row>
    <row r="65" spans="1:9" x14ac:dyDescent="0.25">
      <c r="A65" s="368" t="s">
        <v>45</v>
      </c>
      <c r="B65" s="44" t="s">
        <v>46</v>
      </c>
      <c r="C65" s="189">
        <v>110.66728000000001</v>
      </c>
      <c r="D65" s="189">
        <v>110.66728000000001</v>
      </c>
      <c r="E65" s="38">
        <f t="shared" si="3"/>
        <v>100</v>
      </c>
      <c r="F65" s="38">
        <f t="shared" si="4"/>
        <v>0</v>
      </c>
    </row>
    <row r="66" spans="1:9" s="6" customFormat="1" ht="33" customHeight="1" x14ac:dyDescent="0.25">
      <c r="A66" s="43" t="s">
        <v>47</v>
      </c>
      <c r="B66" s="31" t="s">
        <v>48</v>
      </c>
      <c r="C66" s="33">
        <f>C69+C70+C71</f>
        <v>3</v>
      </c>
      <c r="D66" s="33">
        <f>D69+D70+D71</f>
        <v>2.83134</v>
      </c>
      <c r="E66" s="34">
        <f t="shared" si="3"/>
        <v>94.378</v>
      </c>
      <c r="F66" s="34">
        <f t="shared" si="4"/>
        <v>-0.16866000000000003</v>
      </c>
    </row>
    <row r="67" spans="1:9" ht="1.5" hidden="1" customHeight="1" x14ac:dyDescent="0.25">
      <c r="A67" s="30" t="s">
        <v>47</v>
      </c>
      <c r="B67" s="39" t="s">
        <v>50</v>
      </c>
      <c r="C67" s="189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1.75" hidden="1" customHeight="1" x14ac:dyDescent="0.25">
      <c r="A68" s="35" t="s">
        <v>49</v>
      </c>
      <c r="B68" s="39" t="s">
        <v>52</v>
      </c>
      <c r="C68" s="189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 x14ac:dyDescent="0.25">
      <c r="A69" s="45" t="s">
        <v>53</v>
      </c>
      <c r="B69" s="47" t="s">
        <v>54</v>
      </c>
      <c r="C69" s="191">
        <v>3</v>
      </c>
      <c r="D69" s="189">
        <v>2.83134</v>
      </c>
      <c r="E69" s="34">
        <f t="shared" si="3"/>
        <v>94.378</v>
      </c>
      <c r="F69" s="34">
        <f t="shared" si="4"/>
        <v>-0.16866000000000003</v>
      </c>
    </row>
    <row r="70" spans="1:9" x14ac:dyDescent="0.25">
      <c r="A70" s="46" t="s">
        <v>210</v>
      </c>
      <c r="B70" s="47" t="s">
        <v>211</v>
      </c>
      <c r="C70" s="189"/>
      <c r="D70" s="189">
        <v>0</v>
      </c>
      <c r="E70" s="34" t="e">
        <f t="shared" si="3"/>
        <v>#DIV/0!</v>
      </c>
      <c r="F70" s="34">
        <f t="shared" si="4"/>
        <v>0</v>
      </c>
    </row>
    <row r="71" spans="1:9" x14ac:dyDescent="0.25">
      <c r="A71" s="46" t="s">
        <v>330</v>
      </c>
      <c r="B71" s="47" t="s">
        <v>385</v>
      </c>
      <c r="C71" s="189"/>
      <c r="D71" s="189">
        <v>0</v>
      </c>
      <c r="E71" s="34" t="e">
        <f>SUM(D71/C71*100)</f>
        <v>#DIV/0!</v>
      </c>
      <c r="F71" s="34">
        <f>SUM(D71-C71)</f>
        <v>0</v>
      </c>
    </row>
    <row r="72" spans="1:9" s="6" customFormat="1" ht="17.25" customHeight="1" x14ac:dyDescent="0.25">
      <c r="A72" s="369" t="s">
        <v>55</v>
      </c>
      <c r="B72" s="31" t="s">
        <v>56</v>
      </c>
      <c r="C72" s="33">
        <f>SUM(C73:C76)</f>
        <v>2892.2158200000003</v>
      </c>
      <c r="D72" s="33">
        <f>SUM(D73:D76)</f>
        <v>2864.5189300000002</v>
      </c>
      <c r="E72" s="34">
        <f t="shared" si="3"/>
        <v>99.042364341952876</v>
      </c>
      <c r="F72" s="34">
        <f t="shared" si="4"/>
        <v>-27.696890000000167</v>
      </c>
      <c r="I72" s="106"/>
    </row>
    <row r="73" spans="1:9" ht="15.75" customHeight="1" x14ac:dyDescent="0.25">
      <c r="A73" s="35" t="s">
        <v>57</v>
      </c>
      <c r="B73" s="39" t="s">
        <v>58</v>
      </c>
      <c r="C73" s="189">
        <v>34.346299999999999</v>
      </c>
      <c r="D73" s="189">
        <v>34.346299999999999</v>
      </c>
      <c r="E73" s="38">
        <f t="shared" si="3"/>
        <v>100</v>
      </c>
      <c r="F73" s="38">
        <f t="shared" si="4"/>
        <v>0</v>
      </c>
    </row>
    <row r="74" spans="1:9" s="6" customFormat="1" ht="19.5" hidden="1" customHeight="1" x14ac:dyDescent="0.25">
      <c r="A74" s="35" t="s">
        <v>59</v>
      </c>
      <c r="B74" s="39" t="s">
        <v>60</v>
      </c>
      <c r="C74" s="189">
        <v>0</v>
      </c>
      <c r="D74" s="189">
        <v>0</v>
      </c>
      <c r="E74" s="38" t="e">
        <f t="shared" si="3"/>
        <v>#DIV/0!</v>
      </c>
      <c r="F74" s="38">
        <f t="shared" si="4"/>
        <v>0</v>
      </c>
      <c r="G74" s="50"/>
    </row>
    <row r="75" spans="1:9" x14ac:dyDescent="0.25">
      <c r="A75" s="35" t="s">
        <v>61</v>
      </c>
      <c r="B75" s="39" t="s">
        <v>62</v>
      </c>
      <c r="C75" s="189">
        <v>2827.3695200000002</v>
      </c>
      <c r="D75" s="189">
        <v>2827.17263</v>
      </c>
      <c r="E75" s="38">
        <f t="shared" si="3"/>
        <v>99.993036283421489</v>
      </c>
      <c r="F75" s="38">
        <f t="shared" si="4"/>
        <v>-0.19689000000016676</v>
      </c>
    </row>
    <row r="76" spans="1:9" x14ac:dyDescent="0.25">
      <c r="A76" s="35" t="s">
        <v>63</v>
      </c>
      <c r="B76" s="39" t="s">
        <v>64</v>
      </c>
      <c r="C76" s="189">
        <v>30.5</v>
      </c>
      <c r="D76" s="189">
        <v>3</v>
      </c>
      <c r="E76" s="38">
        <f t="shared" si="3"/>
        <v>9.8360655737704921</v>
      </c>
      <c r="F76" s="38">
        <f t="shared" si="4"/>
        <v>-27.5</v>
      </c>
    </row>
    <row r="77" spans="1:9" s="6" customFormat="1" ht="14.25" customHeight="1" x14ac:dyDescent="0.25">
      <c r="A77" s="30" t="s">
        <v>65</v>
      </c>
      <c r="B77" s="31" t="s">
        <v>66</v>
      </c>
      <c r="C77" s="33">
        <f>SUM(C78:C80)</f>
        <v>4753.36546</v>
      </c>
      <c r="D77" s="33">
        <f>SUM(D78:D80)</f>
        <v>4596.1597499999998</v>
      </c>
      <c r="E77" s="34">
        <f t="shared" si="3"/>
        <v>96.692749351529969</v>
      </c>
      <c r="F77" s="34">
        <f t="shared" si="4"/>
        <v>-157.20571000000018</v>
      </c>
    </row>
    <row r="78" spans="1:9" ht="15.75" hidden="1" customHeight="1" x14ac:dyDescent="0.25">
      <c r="A78" s="30" t="s">
        <v>65</v>
      </c>
      <c r="B78" s="51" t="s">
        <v>68</v>
      </c>
      <c r="C78" s="189"/>
      <c r="D78" s="189"/>
      <c r="E78" s="38" t="e">
        <f t="shared" si="3"/>
        <v>#DIV/0!</v>
      </c>
      <c r="F78" s="38">
        <f t="shared" si="4"/>
        <v>0</v>
      </c>
    </row>
    <row r="79" spans="1:9" ht="31.5" customHeight="1" x14ac:dyDescent="0.25">
      <c r="A79" s="35" t="s">
        <v>69</v>
      </c>
      <c r="B79" s="51" t="s">
        <v>70</v>
      </c>
      <c r="C79" s="189">
        <v>2768.7538</v>
      </c>
      <c r="D79" s="189">
        <v>2611.8307500000001</v>
      </c>
      <c r="E79" s="38">
        <f t="shared" si="3"/>
        <v>94.332358117215051</v>
      </c>
      <c r="F79" s="38">
        <f t="shared" si="4"/>
        <v>-156.92304999999988</v>
      </c>
    </row>
    <row r="80" spans="1:9" x14ac:dyDescent="0.25">
      <c r="A80" s="35" t="s">
        <v>71</v>
      </c>
      <c r="B80" s="39" t="s">
        <v>72</v>
      </c>
      <c r="C80" s="189">
        <v>1984.61166</v>
      </c>
      <c r="D80" s="189">
        <v>1984.329</v>
      </c>
      <c r="E80" s="38">
        <f t="shared" si="3"/>
        <v>99.985757415130777</v>
      </c>
      <c r="F80" s="38">
        <f t="shared" si="4"/>
        <v>-0.28266000000007807</v>
      </c>
    </row>
    <row r="81" spans="1:12" s="6" customFormat="1" x14ac:dyDescent="0.25">
      <c r="A81" s="30" t="s">
        <v>81</v>
      </c>
      <c r="B81" s="31" t="s">
        <v>82</v>
      </c>
      <c r="C81" s="33">
        <f>C82</f>
        <v>705.42</v>
      </c>
      <c r="D81" s="33">
        <f>SUM(D82)</f>
        <v>705.42</v>
      </c>
      <c r="E81" s="34">
        <f t="shared" si="3"/>
        <v>100</v>
      </c>
      <c r="F81" s="34">
        <f t="shared" si="4"/>
        <v>0</v>
      </c>
    </row>
    <row r="82" spans="1:12" ht="15.75" customHeight="1" x14ac:dyDescent="0.25">
      <c r="A82" s="35" t="s">
        <v>83</v>
      </c>
      <c r="B82" s="39" t="s">
        <v>225</v>
      </c>
      <c r="C82" s="189">
        <v>705.42</v>
      </c>
      <c r="D82" s="189">
        <v>705.42</v>
      </c>
      <c r="E82" s="38">
        <f t="shared" si="3"/>
        <v>100</v>
      </c>
      <c r="F82" s="38">
        <f t="shared" si="4"/>
        <v>0</v>
      </c>
      <c r="L82" s="105"/>
    </row>
    <row r="83" spans="1:12" s="6" customFormat="1" x14ac:dyDescent="0.25">
      <c r="A83" s="35" t="s">
        <v>203</v>
      </c>
      <c r="B83" s="31" t="s">
        <v>84</v>
      </c>
      <c r="C83" s="33">
        <f>SUM(C84:C87)</f>
        <v>0</v>
      </c>
      <c r="D83" s="33">
        <f>SUM(D84:D87)</f>
        <v>0</v>
      </c>
      <c r="E83" s="34" t="e">
        <f>SUM(D83/C83*100)</f>
        <v>#DIV/0!</v>
      </c>
      <c r="F83" s="34">
        <f t="shared" si="4"/>
        <v>0</v>
      </c>
    </row>
    <row r="84" spans="1:12" hidden="1" x14ac:dyDescent="0.25">
      <c r="A84" s="52">
        <v>1000</v>
      </c>
      <c r="B84" s="54" t="s">
        <v>85</v>
      </c>
      <c r="C84" s="189"/>
      <c r="D84" s="189"/>
      <c r="E84" s="234" t="e">
        <f>SUM(D84/C84*100)</f>
        <v>#DIV/0!</v>
      </c>
      <c r="F84" s="234">
        <f>SUM(D84-C84)</f>
        <v>0</v>
      </c>
    </row>
    <row r="85" spans="1:12" hidden="1" x14ac:dyDescent="0.25">
      <c r="A85" s="53">
        <v>1001</v>
      </c>
      <c r="B85" s="54" t="s">
        <v>86</v>
      </c>
      <c r="C85" s="189"/>
      <c r="D85" s="189"/>
      <c r="E85" s="234" t="e">
        <f>SUM(D85/C85*100)</f>
        <v>#DIV/0!</v>
      </c>
      <c r="F85" s="234">
        <f>SUM(D85-C85)</f>
        <v>0</v>
      </c>
    </row>
    <row r="86" spans="1:12" hidden="1" x14ac:dyDescent="0.25">
      <c r="A86" s="53">
        <v>1003</v>
      </c>
      <c r="B86" s="54" t="s">
        <v>87</v>
      </c>
      <c r="C86" s="189"/>
      <c r="D86" s="192"/>
      <c r="E86" s="234" t="e">
        <f>SUM(D86/C86*100)</f>
        <v>#DIV/0!</v>
      </c>
      <c r="F86" s="234">
        <f>SUM(D86-C86)</f>
        <v>0</v>
      </c>
    </row>
    <row r="87" spans="1:12" ht="15" customHeight="1" x14ac:dyDescent="0.25">
      <c r="A87" s="53">
        <v>1004</v>
      </c>
      <c r="B87" s="39" t="s">
        <v>89</v>
      </c>
      <c r="C87" s="189">
        <v>0</v>
      </c>
      <c r="D87" s="189">
        <v>0</v>
      </c>
      <c r="E87" s="234" t="e">
        <f>SUM(D87/C87*100)</f>
        <v>#DIV/0!</v>
      </c>
      <c r="F87" s="234">
        <f>SUM(D87-C87)</f>
        <v>0</v>
      </c>
    </row>
    <row r="88" spans="1:12" ht="19.5" customHeight="1" x14ac:dyDescent="0.25">
      <c r="A88" s="30" t="s">
        <v>90</v>
      </c>
      <c r="B88" s="31" t="s">
        <v>91</v>
      </c>
      <c r="C88" s="33">
        <f>C89+C90+C91+C92+C93</f>
        <v>24.83</v>
      </c>
      <c r="D88" s="33">
        <f>D89+D90+D91+D92+D93</f>
        <v>24.83</v>
      </c>
      <c r="E88" s="38">
        <f t="shared" si="3"/>
        <v>100</v>
      </c>
      <c r="F88" s="22">
        <f>F89+F90+F91+F92+F93</f>
        <v>0</v>
      </c>
    </row>
    <row r="89" spans="1:12" ht="15.75" customHeight="1" x14ac:dyDescent="0.25">
      <c r="A89" s="35" t="s">
        <v>92</v>
      </c>
      <c r="B89" s="39" t="s">
        <v>93</v>
      </c>
      <c r="C89" s="189">
        <v>24.83</v>
      </c>
      <c r="D89" s="189">
        <v>24.83</v>
      </c>
      <c r="E89" s="38">
        <f t="shared" si="3"/>
        <v>100</v>
      </c>
      <c r="F89" s="38">
        <f>SUM(D89-C89)</f>
        <v>0</v>
      </c>
    </row>
    <row r="90" spans="1:12" ht="0.75" hidden="1" customHeight="1" x14ac:dyDescent="0.25">
      <c r="A90" s="35" t="s">
        <v>92</v>
      </c>
      <c r="B90" s="39" t="s">
        <v>95</v>
      </c>
      <c r="C90" s="189"/>
      <c r="D90" s="189">
        <v>0</v>
      </c>
      <c r="E90" s="38" t="e">
        <f t="shared" si="3"/>
        <v>#DIV/0!</v>
      </c>
      <c r="F90" s="38">
        <f>SUM(D90-C90)</f>
        <v>0</v>
      </c>
    </row>
    <row r="91" spans="1:12" ht="15.75" hidden="1" customHeight="1" x14ac:dyDescent="0.25">
      <c r="A91" s="35" t="s">
        <v>94</v>
      </c>
      <c r="B91" s="39" t="s">
        <v>97</v>
      </c>
      <c r="C91" s="189"/>
      <c r="D91" s="189"/>
      <c r="E91" s="38" t="e">
        <f t="shared" si="3"/>
        <v>#DIV/0!</v>
      </c>
      <c r="F91" s="38"/>
    </row>
    <row r="92" spans="1:12" ht="3" hidden="1" customHeight="1" x14ac:dyDescent="0.25">
      <c r="A92" s="35" t="s">
        <v>96</v>
      </c>
      <c r="B92" s="39" t="s">
        <v>99</v>
      </c>
      <c r="C92" s="189"/>
      <c r="D92" s="189"/>
      <c r="E92" s="38" t="e">
        <f t="shared" si="3"/>
        <v>#DIV/0!</v>
      </c>
      <c r="F92" s="38"/>
    </row>
    <row r="93" spans="1:12" ht="15" hidden="1" customHeight="1" x14ac:dyDescent="0.25">
      <c r="A93" s="35" t="s">
        <v>98</v>
      </c>
      <c r="B93" s="39" t="s">
        <v>101</v>
      </c>
      <c r="C93" s="189"/>
      <c r="D93" s="189"/>
      <c r="E93" s="38" t="e">
        <f t="shared" si="3"/>
        <v>#DIV/0!</v>
      </c>
      <c r="F93" s="38"/>
    </row>
    <row r="94" spans="1:12" s="6" customFormat="1" ht="12" hidden="1" customHeight="1" x14ac:dyDescent="0.25">
      <c r="A94" s="35" t="s">
        <v>100</v>
      </c>
      <c r="B94" s="56" t="s">
        <v>109</v>
      </c>
      <c r="C94" s="33">
        <f>C95+C96+C97</f>
        <v>0</v>
      </c>
      <c r="D94" s="33">
        <f>SUM(D95:D97)</f>
        <v>0</v>
      </c>
      <c r="E94" s="34" t="e">
        <f t="shared" si="3"/>
        <v>#DIV/0!</v>
      </c>
      <c r="F94" s="34">
        <f t="shared" si="4"/>
        <v>0</v>
      </c>
    </row>
    <row r="95" spans="1:12" ht="15.75" hidden="1" customHeight="1" x14ac:dyDescent="0.25">
      <c r="A95" s="52">
        <v>1400</v>
      </c>
      <c r="B95" s="54" t="s">
        <v>110</v>
      </c>
      <c r="C95" s="189"/>
      <c r="D95" s="189"/>
      <c r="E95" s="38" t="e">
        <f t="shared" si="3"/>
        <v>#DIV/0!</v>
      </c>
      <c r="F95" s="38">
        <f t="shared" si="4"/>
        <v>0</v>
      </c>
    </row>
    <row r="96" spans="1:12" hidden="1" x14ac:dyDescent="0.25">
      <c r="A96" s="53">
        <v>1401</v>
      </c>
      <c r="B96" s="54" t="s">
        <v>111</v>
      </c>
      <c r="C96" s="189"/>
      <c r="D96" s="189"/>
      <c r="E96" s="38" t="e">
        <f t="shared" si="3"/>
        <v>#DIV/0!</v>
      </c>
      <c r="F96" s="38">
        <f t="shared" si="4"/>
        <v>0</v>
      </c>
    </row>
    <row r="97" spans="1:8" ht="23.25" hidden="1" customHeight="1" x14ac:dyDescent="0.25">
      <c r="A97" s="53">
        <v>1402</v>
      </c>
      <c r="B97" s="54" t="s">
        <v>112</v>
      </c>
      <c r="C97" s="189"/>
      <c r="D97" s="189"/>
      <c r="E97" s="38" t="e">
        <f t="shared" si="3"/>
        <v>#DIV/0!</v>
      </c>
      <c r="F97" s="38">
        <f t="shared" si="4"/>
        <v>0</v>
      </c>
    </row>
    <row r="98" spans="1:8" s="6" customFormat="1" ht="16.5" customHeight="1" x14ac:dyDescent="0.25">
      <c r="A98" s="53"/>
      <c r="B98" s="57" t="s">
        <v>113</v>
      </c>
      <c r="C98" s="246">
        <f>C56+C64+C66+C72+C77+C81+C88+C83</f>
        <v>10111.471560000002</v>
      </c>
      <c r="D98" s="246">
        <f>D56+D64+D66+D72+D77+D81+D88+D83</f>
        <v>9878.4558399999987</v>
      </c>
      <c r="E98" s="34">
        <f t="shared" si="3"/>
        <v>97.695531074608468</v>
      </c>
      <c r="F98" s="34">
        <f t="shared" si="4"/>
        <v>-233.01572000000306</v>
      </c>
      <c r="G98" s="146"/>
      <c r="H98" s="260"/>
    </row>
    <row r="99" spans="1:8" ht="20.25" customHeight="1" x14ac:dyDescent="0.25">
      <c r="A99" s="52"/>
      <c r="C99" s="124"/>
      <c r="D99" s="100"/>
    </row>
    <row r="100" spans="1:8" s="65" customFormat="1" ht="13.5" customHeight="1" x14ac:dyDescent="0.25">
      <c r="A100" s="58"/>
      <c r="B100" s="63"/>
      <c r="C100" s="114"/>
      <c r="D100" s="64"/>
      <c r="E100" s="64"/>
    </row>
    <row r="101" spans="1:8" s="65" customFormat="1" ht="12.75" x14ac:dyDescent="0.2">
      <c r="A101" s="63" t="s">
        <v>114</v>
      </c>
      <c r="B101" s="66"/>
      <c r="C101" s="132" t="s">
        <v>116</v>
      </c>
      <c r="D101" s="132"/>
    </row>
    <row r="102" spans="1:8" x14ac:dyDescent="0.25">
      <c r="A102" s="66" t="s">
        <v>115</v>
      </c>
      <c r="C102" s="118"/>
    </row>
    <row r="104" spans="1:8" ht="5.25" customHeight="1" x14ac:dyDescent="0.25"/>
    <row r="142" hidden="1" x14ac:dyDescent="0.25"/>
  </sheetData>
  <customSheetViews>
    <customSheetView guid="{4D5E6ACC-9055-4DE9-8C20-9052F3C35D19}" scale="70" showPageBreaks="1" hiddenRows="1" state="hidden" view="pageBreakPreview" topLeftCell="A37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5C539BE6-C8E0-453F-AB5E-9E58094195EA}" scale="70" showPageBreaks="1" hiddenRows="1" view="pageBreakPreview" topLeftCell="A32">
      <selection activeCell="E81" sqref="E81"/>
      <pageMargins left="0.70866141732283472" right="0.70866141732283472" top="0.74803149606299213" bottom="0.74803149606299213" header="0.31496062992125984" footer="0.31496062992125984"/>
      <pageSetup paperSize="9" scale="53" orientation="portrait" r:id="rId2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3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4"/>
    </customSheetView>
    <customSheetView guid="{1A52382B-3765-4E8C-903F-6B8919B7242E}" scale="70" showPageBreaks="1" printArea="1" hiddenRows="1" view="pageBreakPreview" topLeftCell="A16">
      <selection activeCell="H99" sqref="H99"/>
      <pageMargins left="0.7" right="0.7" top="0.75" bottom="0.75" header="0.3" footer="0.3"/>
      <pageSetup paperSize="9" scale="54" orientation="portrait" r:id="rId5"/>
    </customSheetView>
    <customSheetView guid="{B31C8DB7-3E78-4144-A6B5-8DE36DE63F0E}" hiddenRows="1" topLeftCell="A50">
      <selection activeCell="C66" sqref="C66:D66"/>
      <pageMargins left="0.7" right="0.7" top="0.75" bottom="0.75" header="0.3" footer="0.3"/>
      <pageSetup paperSize="9" scale="54" orientation="portrait" r:id="rId6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7"/>
    </customSheetView>
    <customSheetView guid="{B30CE22D-C12F-4E12-8BB9-3AAE0A6991CC}" scale="70" showPageBreaks="1" hiddenRows="1" view="pageBreakPreview" topLeftCell="A50">
      <selection activeCell="D99" sqref="D99"/>
      <pageMargins left="0.70866141732283472" right="0.70866141732283472" top="0.74803149606299213" bottom="0.74803149606299213" header="0.31496062992125984" footer="0.31496062992125984"/>
      <pageSetup paperSize="9" scale="53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9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10"/>
    </customSheetView>
    <customSheetView guid="{F85EE840-0C31-454A-8951-832C2E9E0600}" scale="70" showPageBreaks="1" hiddenRows="1" state="hidden" view="pageBreakPreview" topLeftCell="A32">
      <selection activeCell="C69" sqref="C69"/>
      <pageMargins left="0.70866141732283472" right="0.70866141732283472" top="0.74803149606299213" bottom="0.74803149606299213" header="0.31496062992125984" footer="0.31496062992125984"/>
      <pageSetup paperSize="9" scale="53" orientation="portrait" r:id="rId11"/>
    </customSheetView>
    <customSheetView guid="{F1E84C44-1ACD-474A-BDE0-C7088DB6C590}" scale="70" showPageBreaks="1" hiddenRows="1" state="hidden" view="pageBreakPreview" topLeftCell="A37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2"/>
    </customSheetView>
    <customSheetView guid="{61528DAC-5C4C-48F4-ADE2-8A724B05A086}" scale="70" showPageBreaks="1" hiddenRows="1" state="hidden" view="pageBreakPreview" topLeftCell="A37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H142"/>
  <sheetViews>
    <sheetView view="pageBreakPreview" topLeftCell="A28" zoomScale="70" zoomScaleNormal="100" zoomScaleSheetLayoutView="70" workbookViewId="0">
      <selection activeCell="C97" sqref="C97"/>
    </sheetView>
  </sheetViews>
  <sheetFormatPr defaultRowHeight="15.75" x14ac:dyDescent="0.2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13.1406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 x14ac:dyDescent="0.25">
      <c r="A1" s="599" t="s">
        <v>413</v>
      </c>
      <c r="B1" s="599"/>
      <c r="C1" s="599"/>
      <c r="D1" s="599"/>
      <c r="E1" s="599"/>
      <c r="F1" s="599"/>
    </row>
    <row r="2" spans="1:6" x14ac:dyDescent="0.25">
      <c r="A2" s="599"/>
      <c r="B2" s="599"/>
      <c r="C2" s="599"/>
      <c r="D2" s="599"/>
      <c r="E2" s="599"/>
      <c r="F2" s="599"/>
    </row>
    <row r="3" spans="1:6" ht="43.5" customHeight="1" x14ac:dyDescent="0.25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 x14ac:dyDescent="0.25">
      <c r="A4" s="3"/>
      <c r="B4" s="4" t="s">
        <v>4</v>
      </c>
      <c r="C4" s="5">
        <f>C5+C12+C14+C17+C7</f>
        <v>2365.75</v>
      </c>
      <c r="D4" s="5">
        <f>D5+D12+D14+D17+D7</f>
        <v>2434.09537</v>
      </c>
      <c r="E4" s="5">
        <f>SUM(D4/C4*100)</f>
        <v>102.88895149529746</v>
      </c>
      <c r="F4" s="5">
        <f>SUM(D4-C4)</f>
        <v>68.345370000000003</v>
      </c>
    </row>
    <row r="5" spans="1:6" s="6" customFormat="1" x14ac:dyDescent="0.25">
      <c r="A5" s="68">
        <v>1010000000</v>
      </c>
      <c r="B5" s="67" t="s">
        <v>5</v>
      </c>
      <c r="C5" s="5">
        <f>C6</f>
        <v>149</v>
      </c>
      <c r="D5" s="5">
        <f>D6</f>
        <v>177.08707000000001</v>
      </c>
      <c r="E5" s="5">
        <f t="shared" ref="E5:E50" si="0">SUM(D5/C5*100)</f>
        <v>118.85038255033558</v>
      </c>
      <c r="F5" s="5">
        <f t="shared" ref="F5:F50" si="1">SUM(D5-C5)</f>
        <v>28.087070000000011</v>
      </c>
    </row>
    <row r="6" spans="1:6" x14ac:dyDescent="0.25">
      <c r="A6" s="7">
        <v>1010200001</v>
      </c>
      <c r="B6" s="8" t="s">
        <v>220</v>
      </c>
      <c r="C6" s="9">
        <v>149</v>
      </c>
      <c r="D6" s="10">
        <v>177.08707000000001</v>
      </c>
      <c r="E6" s="9">
        <f t="shared" ref="E6:E11" si="2">SUM(D6/C6*100)</f>
        <v>118.85038255033558</v>
      </c>
      <c r="F6" s="9">
        <f t="shared" si="1"/>
        <v>28.087070000000011</v>
      </c>
    </row>
    <row r="7" spans="1:6" ht="31.5" x14ac:dyDescent="0.25">
      <c r="A7" s="3">
        <v>1030000000</v>
      </c>
      <c r="B7" s="13" t="s">
        <v>259</v>
      </c>
      <c r="C7" s="5">
        <f>C8+C10+C9</f>
        <v>675.75</v>
      </c>
      <c r="D7" s="5">
        <f>D8+D10+D9+D11</f>
        <v>798.9091699999999</v>
      </c>
      <c r="E7" s="5">
        <f t="shared" si="2"/>
        <v>118.22555234924157</v>
      </c>
      <c r="F7" s="5">
        <f t="shared" si="1"/>
        <v>123.1591699999999</v>
      </c>
    </row>
    <row r="8" spans="1:6" x14ac:dyDescent="0.25">
      <c r="A8" s="7">
        <v>1030223001</v>
      </c>
      <c r="B8" s="8" t="s">
        <v>261</v>
      </c>
      <c r="C8" s="9">
        <v>252.05500000000001</v>
      </c>
      <c r="D8" s="10">
        <v>400.49876999999998</v>
      </c>
      <c r="E8" s="9">
        <f t="shared" si="2"/>
        <v>158.89340421733351</v>
      </c>
      <c r="F8" s="9">
        <f t="shared" si="1"/>
        <v>148.44376999999997</v>
      </c>
    </row>
    <row r="9" spans="1:6" x14ac:dyDescent="0.25">
      <c r="A9" s="7">
        <v>1030224001</v>
      </c>
      <c r="B9" s="8" t="s">
        <v>267</v>
      </c>
      <c r="C9" s="9">
        <v>2.7029999999999998</v>
      </c>
      <c r="D9" s="10">
        <v>2.1633399999999998</v>
      </c>
      <c r="E9" s="9">
        <f t="shared" si="2"/>
        <v>80.034776174620788</v>
      </c>
      <c r="F9" s="9">
        <f t="shared" si="1"/>
        <v>-0.53966000000000003</v>
      </c>
    </row>
    <row r="10" spans="1:6" x14ac:dyDescent="0.25">
      <c r="A10" s="7">
        <v>1030225001</v>
      </c>
      <c r="B10" s="8" t="s">
        <v>260</v>
      </c>
      <c r="C10" s="9">
        <v>420.99200000000002</v>
      </c>
      <c r="D10" s="10">
        <v>442.19587999999999</v>
      </c>
      <c r="E10" s="9">
        <f t="shared" si="2"/>
        <v>105.03664677713589</v>
      </c>
      <c r="F10" s="9">
        <f t="shared" si="1"/>
        <v>21.20387999999997</v>
      </c>
    </row>
    <row r="11" spans="1:6" x14ac:dyDescent="0.25">
      <c r="A11" s="7">
        <v>1030226001</v>
      </c>
      <c r="B11" s="8" t="s">
        <v>269</v>
      </c>
      <c r="C11" s="9">
        <v>0</v>
      </c>
      <c r="D11" s="10">
        <v>-45.948819999999998</v>
      </c>
      <c r="E11" s="9" t="e">
        <f t="shared" si="2"/>
        <v>#DIV/0!</v>
      </c>
      <c r="F11" s="9">
        <f t="shared" si="1"/>
        <v>-45.948819999999998</v>
      </c>
    </row>
    <row r="12" spans="1:6" s="6" customFormat="1" x14ac:dyDescent="0.25">
      <c r="A12" s="68">
        <v>1050000000</v>
      </c>
      <c r="B12" s="67" t="s">
        <v>6</v>
      </c>
      <c r="C12" s="5">
        <f>SUM(C13:C13)</f>
        <v>80</v>
      </c>
      <c r="D12" s="5">
        <f>SUM(D13:D13)</f>
        <v>81.321929999999995</v>
      </c>
      <c r="E12" s="5">
        <f t="shared" si="0"/>
        <v>101.65241249999998</v>
      </c>
      <c r="F12" s="5">
        <f t="shared" si="1"/>
        <v>1.3219299999999947</v>
      </c>
    </row>
    <row r="13" spans="1:6" ht="15.75" customHeight="1" x14ac:dyDescent="0.25">
      <c r="A13" s="7">
        <v>1050300000</v>
      </c>
      <c r="B13" s="11" t="s">
        <v>221</v>
      </c>
      <c r="C13" s="12">
        <v>80</v>
      </c>
      <c r="D13" s="10">
        <v>81.321929999999995</v>
      </c>
      <c r="E13" s="9">
        <f t="shared" si="0"/>
        <v>101.65241249999998</v>
      </c>
      <c r="F13" s="9">
        <f t="shared" si="1"/>
        <v>1.3219299999999947</v>
      </c>
    </row>
    <row r="14" spans="1:6" s="6" customFormat="1" ht="15.75" customHeight="1" x14ac:dyDescent="0.25">
      <c r="A14" s="68">
        <v>1060000000</v>
      </c>
      <c r="B14" s="67" t="s">
        <v>129</v>
      </c>
      <c r="C14" s="5">
        <f>C15+C16</f>
        <v>1453</v>
      </c>
      <c r="D14" s="5">
        <f>D15+D16</f>
        <v>1373.5771999999999</v>
      </c>
      <c r="E14" s="5">
        <f t="shared" si="0"/>
        <v>94.53387474191328</v>
      </c>
      <c r="F14" s="5">
        <f t="shared" si="1"/>
        <v>-79.422800000000052</v>
      </c>
    </row>
    <row r="15" spans="1:6" s="6" customFormat="1" ht="15.75" customHeight="1" x14ac:dyDescent="0.25">
      <c r="A15" s="7">
        <v>1060100000</v>
      </c>
      <c r="B15" s="11" t="s">
        <v>8</v>
      </c>
      <c r="C15" s="9">
        <v>433</v>
      </c>
      <c r="D15" s="10">
        <v>411.26123999999999</v>
      </c>
      <c r="E15" s="9">
        <f t="shared" si="0"/>
        <v>94.979501154734407</v>
      </c>
      <c r="F15" s="9">
        <f>SUM(D15-C15)</f>
        <v>-21.738760000000013</v>
      </c>
    </row>
    <row r="16" spans="1:6" ht="15.75" customHeight="1" x14ac:dyDescent="0.25">
      <c r="A16" s="7">
        <v>1060600000</v>
      </c>
      <c r="B16" s="11" t="s">
        <v>7</v>
      </c>
      <c r="C16" s="9">
        <v>1020</v>
      </c>
      <c r="D16" s="10">
        <v>962.31596000000002</v>
      </c>
      <c r="E16" s="9">
        <f t="shared" si="0"/>
        <v>94.34470196078432</v>
      </c>
      <c r="F16" s="9">
        <f t="shared" si="1"/>
        <v>-57.684039999999982</v>
      </c>
    </row>
    <row r="17" spans="1:6" s="6" customFormat="1" x14ac:dyDescent="0.25">
      <c r="A17" s="3">
        <v>1080000000</v>
      </c>
      <c r="B17" s="4" t="s">
        <v>10</v>
      </c>
      <c r="C17" s="5">
        <f>C18</f>
        <v>8</v>
      </c>
      <c r="D17" s="5">
        <f>D18</f>
        <v>3.2</v>
      </c>
      <c r="E17" s="5">
        <f t="shared" si="0"/>
        <v>40</v>
      </c>
      <c r="F17" s="5">
        <f t="shared" si="1"/>
        <v>-4.8</v>
      </c>
    </row>
    <row r="18" spans="1:6" ht="15" customHeight="1" x14ac:dyDescent="0.25">
      <c r="A18" s="7">
        <v>1080400001</v>
      </c>
      <c r="B18" s="8" t="s">
        <v>219</v>
      </c>
      <c r="C18" s="9">
        <v>8</v>
      </c>
      <c r="D18" s="10">
        <v>3.2</v>
      </c>
      <c r="E18" s="9">
        <f t="shared" si="0"/>
        <v>40</v>
      </c>
      <c r="F18" s="9">
        <f t="shared" si="1"/>
        <v>-4.8</v>
      </c>
    </row>
    <row r="19" spans="1:6" ht="47.25" hidden="1" customHeight="1" x14ac:dyDescent="0.25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 x14ac:dyDescent="0.25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 x14ac:dyDescent="0.25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 x14ac:dyDescent="0.25">
      <c r="A22" s="7">
        <v>1090400000</v>
      </c>
      <c r="B22" s="8" t="s">
        <v>224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 x14ac:dyDescent="0.25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 x14ac:dyDescent="0.25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 x14ac:dyDescent="0.25">
      <c r="A25" s="3"/>
      <c r="B25" s="4" t="s">
        <v>12</v>
      </c>
      <c r="C25" s="5">
        <f>C26+C29+C31+C34</f>
        <v>498</v>
      </c>
      <c r="D25" s="5">
        <f>D26+D29+D31+D34+D36</f>
        <v>1916.86304</v>
      </c>
      <c r="E25" s="5">
        <f t="shared" si="0"/>
        <v>384.91225702811244</v>
      </c>
      <c r="F25" s="5">
        <f t="shared" si="1"/>
        <v>1418.86304</v>
      </c>
    </row>
    <row r="26" spans="1:6" s="6" customFormat="1" ht="30" customHeight="1" x14ac:dyDescent="0.25">
      <c r="A26" s="68">
        <v>1110000000</v>
      </c>
      <c r="B26" s="69" t="s">
        <v>122</v>
      </c>
      <c r="C26" s="5">
        <f>C27+C28</f>
        <v>418</v>
      </c>
      <c r="D26" s="5">
        <f>D27+D28</f>
        <v>528.69868999999994</v>
      </c>
      <c r="E26" s="5">
        <f t="shared" si="0"/>
        <v>126.48294019138756</v>
      </c>
      <c r="F26" s="5">
        <f t="shared" si="1"/>
        <v>110.69868999999994</v>
      </c>
    </row>
    <row r="27" spans="1:6" x14ac:dyDescent="0.25">
      <c r="A27" s="16">
        <v>1110502510</v>
      </c>
      <c r="B27" s="17" t="s">
        <v>217</v>
      </c>
      <c r="C27" s="12">
        <v>388</v>
      </c>
      <c r="D27" s="10">
        <v>499.31668999999999</v>
      </c>
      <c r="E27" s="9">
        <f t="shared" si="0"/>
        <v>128.68986855670104</v>
      </c>
      <c r="F27" s="9">
        <f t="shared" si="1"/>
        <v>111.31668999999999</v>
      </c>
    </row>
    <row r="28" spans="1:6" x14ac:dyDescent="0.25">
      <c r="A28" s="7">
        <v>1110503510</v>
      </c>
      <c r="B28" s="11" t="s">
        <v>216</v>
      </c>
      <c r="C28" s="12">
        <v>30</v>
      </c>
      <c r="D28" s="10">
        <v>29.382000000000001</v>
      </c>
      <c r="E28" s="9">
        <f t="shared" si="0"/>
        <v>97.94</v>
      </c>
      <c r="F28" s="9">
        <f t="shared" si="1"/>
        <v>-0.61799999999999855</v>
      </c>
    </row>
    <row r="29" spans="1:6" s="15" customFormat="1" ht="19.5" customHeight="1" x14ac:dyDescent="0.25">
      <c r="A29" s="68">
        <v>1130000000</v>
      </c>
      <c r="B29" s="69" t="s">
        <v>124</v>
      </c>
      <c r="C29" s="5">
        <f>C30</f>
        <v>80</v>
      </c>
      <c r="D29" s="5">
        <f>D30</f>
        <v>97.995909999999995</v>
      </c>
      <c r="E29" s="5">
        <f t="shared" si="0"/>
        <v>122.49488749999999</v>
      </c>
      <c r="F29" s="5">
        <f t="shared" si="1"/>
        <v>17.995909999999995</v>
      </c>
    </row>
    <row r="30" spans="1:6" ht="36" customHeight="1" x14ac:dyDescent="0.25">
      <c r="A30" s="7">
        <v>1130206510</v>
      </c>
      <c r="B30" s="8" t="s">
        <v>397</v>
      </c>
      <c r="C30" s="9">
        <v>80</v>
      </c>
      <c r="D30" s="10">
        <v>97.995909999999995</v>
      </c>
      <c r="E30" s="9">
        <f t="shared" si="0"/>
        <v>122.49488749999999</v>
      </c>
      <c r="F30" s="9">
        <f t="shared" si="1"/>
        <v>17.995909999999995</v>
      </c>
    </row>
    <row r="31" spans="1:6" ht="25.5" customHeight="1" x14ac:dyDescent="0.25">
      <c r="A31" s="70">
        <v>1140000000</v>
      </c>
      <c r="B31" s="71" t="s">
        <v>125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customHeight="1" x14ac:dyDescent="0.25">
      <c r="A32" s="16">
        <v>1140200000</v>
      </c>
      <c r="B32" s="18" t="s">
        <v>213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.5" customHeight="1" x14ac:dyDescent="0.25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 x14ac:dyDescent="0.25">
      <c r="A34" s="3">
        <v>1160000000</v>
      </c>
      <c r="B34" s="13" t="s">
        <v>236</v>
      </c>
      <c r="C34" s="9">
        <f>C35</f>
        <v>0</v>
      </c>
      <c r="D34" s="14">
        <v>43.13044</v>
      </c>
      <c r="E34" s="9" t="e">
        <f t="shared" si="0"/>
        <v>#DIV/0!</v>
      </c>
      <c r="F34" s="9">
        <f t="shared" si="1"/>
        <v>43.13044</v>
      </c>
    </row>
    <row r="35" spans="1:7" ht="28.5" customHeight="1" x14ac:dyDescent="0.25">
      <c r="A35" s="7">
        <v>1160701000</v>
      </c>
      <c r="B35" s="8" t="s">
        <v>426</v>
      </c>
      <c r="C35" s="9"/>
      <c r="D35" s="10">
        <v>43.13044</v>
      </c>
      <c r="E35" s="9" t="e">
        <f t="shared" si="0"/>
        <v>#DIV/0!</v>
      </c>
      <c r="F35" s="9">
        <f t="shared" si="1"/>
        <v>43.13044</v>
      </c>
    </row>
    <row r="36" spans="1:7" ht="24.75" customHeight="1" x14ac:dyDescent="0.25">
      <c r="A36" s="3">
        <v>1170000000</v>
      </c>
      <c r="B36" s="13" t="s">
        <v>128</v>
      </c>
      <c r="C36" s="5">
        <f>C37+C38</f>
        <v>0</v>
      </c>
      <c r="D36" s="5">
        <f>D37+D38</f>
        <v>1247.038</v>
      </c>
      <c r="E36" s="9" t="e">
        <f t="shared" si="0"/>
        <v>#DIV/0!</v>
      </c>
      <c r="F36" s="5">
        <f t="shared" si="1"/>
        <v>1247.038</v>
      </c>
    </row>
    <row r="37" spans="1:7" ht="18" customHeight="1" x14ac:dyDescent="0.25">
      <c r="A37" s="7">
        <v>1171503010</v>
      </c>
      <c r="B37" s="8" t="s">
        <v>406</v>
      </c>
      <c r="C37" s="9">
        <f>C38</f>
        <v>0</v>
      </c>
      <c r="D37" s="9">
        <v>1247.038</v>
      </c>
      <c r="E37" s="9" t="e">
        <f t="shared" si="0"/>
        <v>#DIV/0!</v>
      </c>
      <c r="F37" s="9">
        <f t="shared" si="1"/>
        <v>1247.038</v>
      </c>
    </row>
    <row r="38" spans="1:7" ht="15" hidden="1" customHeight="1" x14ac:dyDescent="0.25">
      <c r="A38" s="7">
        <v>1170505005</v>
      </c>
      <c r="B38" s="11" t="s">
        <v>212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 x14ac:dyDescent="0.25">
      <c r="A39" s="3">
        <v>1000000000</v>
      </c>
      <c r="B39" s="4" t="s">
        <v>16</v>
      </c>
      <c r="C39" s="125">
        <f>SUM(C4,C25)</f>
        <v>2863.75</v>
      </c>
      <c r="D39" s="125">
        <f>SUM(D4,D25)</f>
        <v>4350.9584100000002</v>
      </c>
      <c r="E39" s="5">
        <f t="shared" si="0"/>
        <v>151.93220113487561</v>
      </c>
      <c r="F39" s="5">
        <f t="shared" si="1"/>
        <v>1487.2084100000002</v>
      </c>
    </row>
    <row r="40" spans="1:7" s="6" customFormat="1" x14ac:dyDescent="0.25">
      <c r="A40" s="3">
        <v>2000000000</v>
      </c>
      <c r="B40" s="4" t="s">
        <v>17</v>
      </c>
      <c r="C40" s="5">
        <f>C41+C43+C44+C45+C46+C47+C48+C42</f>
        <v>10903.501459999999</v>
      </c>
      <c r="D40" s="5">
        <f>SUM(D41:D48)</f>
        <v>10878.82494</v>
      </c>
      <c r="E40" s="5">
        <f t="shared" si="0"/>
        <v>99.773682609292749</v>
      </c>
      <c r="F40" s="5">
        <f t="shared" si="1"/>
        <v>-24.676519999999073</v>
      </c>
      <c r="G40" s="19"/>
    </row>
    <row r="41" spans="1:7" ht="15" customHeight="1" x14ac:dyDescent="0.25">
      <c r="A41" s="16">
        <v>2021000000</v>
      </c>
      <c r="B41" s="17" t="s">
        <v>18</v>
      </c>
      <c r="C41" s="12">
        <v>2417.4</v>
      </c>
      <c r="D41" s="253">
        <v>2417.4</v>
      </c>
      <c r="E41" s="9">
        <f t="shared" si="0"/>
        <v>100</v>
      </c>
      <c r="F41" s="9">
        <f t="shared" si="1"/>
        <v>0</v>
      </c>
    </row>
    <row r="42" spans="1:7" ht="15" hidden="1" customHeight="1" x14ac:dyDescent="0.25">
      <c r="A42" s="16">
        <v>2021500200</v>
      </c>
      <c r="B42" s="17" t="s">
        <v>223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x14ac:dyDescent="0.25">
      <c r="A43" s="16">
        <v>2022000000</v>
      </c>
      <c r="B43" s="17" t="s">
        <v>19</v>
      </c>
      <c r="C43" s="12">
        <v>6027.2349999999997</v>
      </c>
      <c r="D43" s="10">
        <v>6027.2349999999997</v>
      </c>
      <c r="E43" s="9">
        <f t="shared" si="0"/>
        <v>100</v>
      </c>
      <c r="F43" s="9">
        <f t="shared" si="1"/>
        <v>0</v>
      </c>
    </row>
    <row r="44" spans="1:7" ht="18.75" customHeight="1" x14ac:dyDescent="0.25">
      <c r="A44" s="16">
        <v>2023000000</v>
      </c>
      <c r="B44" s="17" t="s">
        <v>20</v>
      </c>
      <c r="C44" s="12">
        <v>109.41849000000001</v>
      </c>
      <c r="D44" s="180">
        <v>109.41849000000001</v>
      </c>
      <c r="E44" s="9">
        <f t="shared" si="0"/>
        <v>100</v>
      </c>
      <c r="F44" s="9">
        <f t="shared" si="1"/>
        <v>0</v>
      </c>
    </row>
    <row r="45" spans="1:7" ht="17.25" customHeight="1" x14ac:dyDescent="0.25">
      <c r="A45" s="16">
        <v>2024000000</v>
      </c>
      <c r="B45" s="17" t="s">
        <v>21</v>
      </c>
      <c r="C45" s="12">
        <v>2349.4479700000002</v>
      </c>
      <c r="D45" s="181">
        <v>2324.7714500000002</v>
      </c>
      <c r="E45" s="9">
        <f t="shared" si="0"/>
        <v>98.949688594295623</v>
      </c>
      <c r="F45" s="9">
        <f t="shared" si="1"/>
        <v>-24.676519999999982</v>
      </c>
    </row>
    <row r="46" spans="1:7" ht="16.5" hidden="1" customHeight="1" x14ac:dyDescent="0.25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t="24" customHeight="1" x14ac:dyDescent="0.25">
      <c r="A47" s="7">
        <v>2190500005</v>
      </c>
      <c r="B47" s="11" t="s">
        <v>23</v>
      </c>
      <c r="C47" s="10">
        <v>0</v>
      </c>
      <c r="D47" s="255">
        <v>0</v>
      </c>
      <c r="E47" s="5" t="e">
        <f t="shared" si="0"/>
        <v>#DIV/0!</v>
      </c>
      <c r="F47" s="5">
        <f>SUM(D47-C47)</f>
        <v>0</v>
      </c>
    </row>
    <row r="48" spans="1:7" ht="18" customHeight="1" x14ac:dyDescent="0.25">
      <c r="A48" s="7">
        <v>2070502010</v>
      </c>
      <c r="B48" s="11" t="s">
        <v>281</v>
      </c>
      <c r="C48" s="10"/>
      <c r="D48" s="10"/>
      <c r="E48" s="9" t="e">
        <f>SUM(D48/C48*100)</f>
        <v>#DIV/0!</v>
      </c>
      <c r="F48" s="9">
        <f>SUM(D48-C48)</f>
        <v>0</v>
      </c>
    </row>
    <row r="49" spans="1:8" s="6" customFormat="1" ht="16.5" customHeight="1" x14ac:dyDescent="0.25">
      <c r="A49" s="235">
        <v>2190000010</v>
      </c>
      <c r="B49" s="236" t="s">
        <v>23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8" s="6" customFormat="1" ht="19.5" customHeight="1" x14ac:dyDescent="0.25">
      <c r="A50" s="3"/>
      <c r="B50" s="4" t="s">
        <v>25</v>
      </c>
      <c r="C50" s="240">
        <f>C39+C40</f>
        <v>13767.251459999999</v>
      </c>
      <c r="D50" s="241">
        <f>D39+D40</f>
        <v>15229.783350000002</v>
      </c>
      <c r="E50" s="5">
        <f t="shared" si="0"/>
        <v>110.62326706423072</v>
      </c>
      <c r="F50" s="5">
        <f t="shared" si="1"/>
        <v>1462.531890000002</v>
      </c>
      <c r="G50" s="93"/>
      <c r="H50" s="259"/>
    </row>
    <row r="51" spans="1:8" s="6" customFormat="1" x14ac:dyDescent="0.25">
      <c r="A51" s="3"/>
      <c r="B51" s="21" t="s">
        <v>299</v>
      </c>
      <c r="C51" s="92">
        <f>C50-C97</f>
        <v>-384.86571000000004</v>
      </c>
      <c r="D51" s="92">
        <f>D50-D97</f>
        <v>1293.0211400000026</v>
      </c>
      <c r="E51" s="22"/>
      <c r="F51" s="22"/>
    </row>
    <row r="52" spans="1:8" x14ac:dyDescent="0.25">
      <c r="A52" s="23"/>
      <c r="B52" s="24"/>
      <c r="C52" s="232"/>
      <c r="D52" s="232" t="s">
        <v>312</v>
      </c>
      <c r="E52" s="26"/>
      <c r="F52" s="91"/>
    </row>
    <row r="53" spans="1:8" ht="42.75" customHeight="1" x14ac:dyDescent="0.25">
      <c r="A53" s="28" t="s">
        <v>0</v>
      </c>
      <c r="B53" s="28" t="s">
        <v>26</v>
      </c>
      <c r="C53" s="72" t="s">
        <v>394</v>
      </c>
      <c r="D53" s="399" t="s">
        <v>409</v>
      </c>
      <c r="E53" s="72" t="s">
        <v>2</v>
      </c>
      <c r="F53" s="73" t="s">
        <v>3</v>
      </c>
    </row>
    <row r="54" spans="1:8" x14ac:dyDescent="0.25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2.5" customHeight="1" x14ac:dyDescent="0.25">
      <c r="A55" s="30" t="s">
        <v>27</v>
      </c>
      <c r="B55" s="31" t="s">
        <v>28</v>
      </c>
      <c r="C55" s="176">
        <f>C56+C57+C58+C59+C60+C62+C61</f>
        <v>1975.951</v>
      </c>
      <c r="D55" s="32">
        <f>D56+D57+D58+D59+D60+D62+D61</f>
        <v>1916.6508399999998</v>
      </c>
      <c r="E55" s="34">
        <f>SUM(D55/C55*100)</f>
        <v>96.998905337227484</v>
      </c>
      <c r="F55" s="34">
        <f>SUM(D55-C55)</f>
        <v>-59.300160000000233</v>
      </c>
    </row>
    <row r="56" spans="1:8" s="6" customFormat="1" ht="31.5" hidden="1" x14ac:dyDescent="0.25">
      <c r="A56" s="35" t="s">
        <v>29</v>
      </c>
      <c r="B56" s="36" t="s">
        <v>30</v>
      </c>
      <c r="C56" s="37"/>
      <c r="D56" s="37"/>
      <c r="E56" s="34" t="e">
        <f>SUM(D56/C56*100)</f>
        <v>#DIV/0!</v>
      </c>
      <c r="F56" s="38"/>
    </row>
    <row r="57" spans="1:8" ht="15" customHeight="1" x14ac:dyDescent="0.25">
      <c r="A57" s="35" t="s">
        <v>31</v>
      </c>
      <c r="B57" s="39" t="s">
        <v>32</v>
      </c>
      <c r="C57" s="37">
        <v>1915.6289999999999</v>
      </c>
      <c r="D57" s="37">
        <v>1877.3288399999999</v>
      </c>
      <c r="E57" s="34">
        <f>SUM(D57/C57*100)</f>
        <v>98.000648351011606</v>
      </c>
      <c r="F57" s="38">
        <f t="shared" ref="F57:F97" si="3">SUM(D57-C57)</f>
        <v>-38.300160000000005</v>
      </c>
    </row>
    <row r="58" spans="1:8" ht="16.5" hidden="1" customHeight="1" x14ac:dyDescent="0.25">
      <c r="A58" s="35" t="s">
        <v>33</v>
      </c>
      <c r="B58" s="39" t="s">
        <v>34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8" ht="31.5" hidden="1" customHeight="1" x14ac:dyDescent="0.25">
      <c r="A59" s="35" t="s">
        <v>35</v>
      </c>
      <c r="B59" s="39" t="s">
        <v>36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8" ht="15" customHeight="1" x14ac:dyDescent="0.25">
      <c r="A60" s="35" t="s">
        <v>37</v>
      </c>
      <c r="B60" s="39" t="s">
        <v>38</v>
      </c>
      <c r="C60" s="37"/>
      <c r="D60" s="37">
        <v>0</v>
      </c>
      <c r="E60" s="38" t="e">
        <f t="shared" ref="E60:E97" si="4">SUM(D60/C60*100)</f>
        <v>#DIV/0!</v>
      </c>
      <c r="F60" s="38">
        <f t="shared" si="3"/>
        <v>0</v>
      </c>
    </row>
    <row r="61" spans="1:8" x14ac:dyDescent="0.25">
      <c r="A61" s="35" t="s">
        <v>39</v>
      </c>
      <c r="B61" s="39" t="s">
        <v>40</v>
      </c>
      <c r="C61" s="40">
        <v>1</v>
      </c>
      <c r="D61" s="40">
        <v>0</v>
      </c>
      <c r="E61" s="38">
        <f t="shared" si="4"/>
        <v>0</v>
      </c>
      <c r="F61" s="38">
        <f t="shared" si="3"/>
        <v>-1</v>
      </c>
    </row>
    <row r="62" spans="1:8" ht="19.5" customHeight="1" x14ac:dyDescent="0.25">
      <c r="A62" s="35" t="s">
        <v>41</v>
      </c>
      <c r="B62" s="39" t="s">
        <v>42</v>
      </c>
      <c r="C62" s="37">
        <v>59.322000000000003</v>
      </c>
      <c r="D62" s="37">
        <v>39.322000000000003</v>
      </c>
      <c r="E62" s="38">
        <f t="shared" si="4"/>
        <v>66.285695020397156</v>
      </c>
      <c r="F62" s="38">
        <f t="shared" si="3"/>
        <v>-20</v>
      </c>
    </row>
    <row r="63" spans="1:8" s="6" customFormat="1" x14ac:dyDescent="0.25">
      <c r="A63" s="41" t="s">
        <v>43</v>
      </c>
      <c r="B63" s="42" t="s">
        <v>44</v>
      </c>
      <c r="C63" s="32">
        <f>C64</f>
        <v>109.41849000000001</v>
      </c>
      <c r="D63" s="32">
        <f>D64</f>
        <v>109.41849000000001</v>
      </c>
      <c r="E63" s="34">
        <f t="shared" si="4"/>
        <v>100</v>
      </c>
      <c r="F63" s="34">
        <f t="shared" si="3"/>
        <v>0</v>
      </c>
    </row>
    <row r="64" spans="1:8" x14ac:dyDescent="0.25">
      <c r="A64" s="43" t="s">
        <v>45</v>
      </c>
      <c r="B64" s="44" t="s">
        <v>46</v>
      </c>
      <c r="C64" s="37">
        <v>109.41849000000001</v>
      </c>
      <c r="D64" s="37">
        <v>109.41849000000001</v>
      </c>
      <c r="E64" s="38">
        <f t="shared" si="4"/>
        <v>100</v>
      </c>
      <c r="F64" s="38">
        <f t="shared" si="3"/>
        <v>0</v>
      </c>
    </row>
    <row r="65" spans="1:7" s="6" customFormat="1" ht="21" customHeight="1" x14ac:dyDescent="0.25">
      <c r="A65" s="30" t="s">
        <v>47</v>
      </c>
      <c r="B65" s="31" t="s">
        <v>48</v>
      </c>
      <c r="C65" s="32">
        <f>C68+C69+C70</f>
        <v>224.83500000000001</v>
      </c>
      <c r="D65" s="32">
        <f>SUM(D68+D69+D70)</f>
        <v>223.83735000000001</v>
      </c>
      <c r="E65" s="34">
        <f t="shared" si="4"/>
        <v>99.556274601374341</v>
      </c>
      <c r="F65" s="34">
        <f t="shared" si="3"/>
        <v>-0.99764999999999304</v>
      </c>
    </row>
    <row r="66" spans="1:7" hidden="1" x14ac:dyDescent="0.25">
      <c r="A66" s="35" t="s">
        <v>49</v>
      </c>
      <c r="B66" s="39" t="s">
        <v>50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 x14ac:dyDescent="0.25">
      <c r="A67" s="45" t="s">
        <v>51</v>
      </c>
      <c r="B67" s="39" t="s">
        <v>52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 x14ac:dyDescent="0.25">
      <c r="A68" s="46" t="s">
        <v>53</v>
      </c>
      <c r="B68" s="47" t="s">
        <v>54</v>
      </c>
      <c r="C68" s="37">
        <v>33.835000000000001</v>
      </c>
      <c r="D68" s="37">
        <v>33.831339999999997</v>
      </c>
      <c r="E68" s="34">
        <f t="shared" si="4"/>
        <v>99.989182798876897</v>
      </c>
      <c r="F68" s="34">
        <f t="shared" si="3"/>
        <v>-3.6600000000035493E-3</v>
      </c>
    </row>
    <row r="69" spans="1:7" x14ac:dyDescent="0.25">
      <c r="A69" s="46" t="s">
        <v>210</v>
      </c>
      <c r="B69" s="47" t="s">
        <v>211</v>
      </c>
      <c r="C69" s="37">
        <v>189</v>
      </c>
      <c r="D69" s="37">
        <v>188.00601</v>
      </c>
      <c r="E69" s="34">
        <f t="shared" si="4"/>
        <v>99.474079365079376</v>
      </c>
      <c r="F69" s="34">
        <f t="shared" si="3"/>
        <v>-0.9939899999999966</v>
      </c>
    </row>
    <row r="70" spans="1:7" x14ac:dyDescent="0.25">
      <c r="A70" s="46" t="s">
        <v>330</v>
      </c>
      <c r="B70" s="47" t="s">
        <v>385</v>
      </c>
      <c r="C70" s="37">
        <v>2</v>
      </c>
      <c r="D70" s="37">
        <v>2</v>
      </c>
      <c r="E70" s="34"/>
      <c r="F70" s="34"/>
    </row>
    <row r="71" spans="1:7" s="6" customFormat="1" ht="17.25" customHeight="1" x14ac:dyDescent="0.25">
      <c r="A71" s="30" t="s">
        <v>55</v>
      </c>
      <c r="B71" s="31" t="s">
        <v>56</v>
      </c>
      <c r="C71" s="48">
        <f>SUM(C72:C75)</f>
        <v>2267.98171</v>
      </c>
      <c r="D71" s="48">
        <f>SUM(D72:D75)</f>
        <v>2143.27207</v>
      </c>
      <c r="E71" s="34">
        <f t="shared" si="4"/>
        <v>94.501294280719748</v>
      </c>
      <c r="F71" s="34">
        <f t="shared" si="3"/>
        <v>-124.70964000000004</v>
      </c>
    </row>
    <row r="72" spans="1:7" x14ac:dyDescent="0.25">
      <c r="A72" s="35" t="s">
        <v>57</v>
      </c>
      <c r="B72" s="39" t="s">
        <v>58</v>
      </c>
      <c r="C72" s="49">
        <v>41.2</v>
      </c>
      <c r="D72" s="37">
        <v>41.2</v>
      </c>
      <c r="E72" s="38">
        <f t="shared" si="4"/>
        <v>100</v>
      </c>
      <c r="F72" s="38">
        <f t="shared" si="3"/>
        <v>0</v>
      </c>
    </row>
    <row r="73" spans="1:7" s="6" customFormat="1" x14ac:dyDescent="0.25">
      <c r="A73" s="35" t="s">
        <v>59</v>
      </c>
      <c r="B73" s="39" t="s">
        <v>60</v>
      </c>
      <c r="C73" s="49"/>
      <c r="D73" s="37"/>
      <c r="E73" s="38" t="e">
        <f t="shared" si="4"/>
        <v>#DIV/0!</v>
      </c>
      <c r="F73" s="38">
        <f t="shared" si="3"/>
        <v>0</v>
      </c>
      <c r="G73" s="50"/>
    </row>
    <row r="74" spans="1:7" x14ac:dyDescent="0.25">
      <c r="A74" s="35" t="s">
        <v>61</v>
      </c>
      <c r="B74" s="39" t="s">
        <v>62</v>
      </c>
      <c r="C74" s="49">
        <v>2119.8817100000001</v>
      </c>
      <c r="D74" s="37">
        <v>2038.5720699999999</v>
      </c>
      <c r="E74" s="38">
        <f t="shared" si="4"/>
        <v>96.164425608445853</v>
      </c>
      <c r="F74" s="38">
        <f t="shared" si="3"/>
        <v>-81.309640000000172</v>
      </c>
    </row>
    <row r="75" spans="1:7" x14ac:dyDescent="0.25">
      <c r="A75" s="35" t="s">
        <v>63</v>
      </c>
      <c r="B75" s="39" t="s">
        <v>64</v>
      </c>
      <c r="C75" s="49">
        <v>106.9</v>
      </c>
      <c r="D75" s="37">
        <v>63.5</v>
      </c>
      <c r="E75" s="38">
        <f t="shared" si="4"/>
        <v>59.401309635173064</v>
      </c>
      <c r="F75" s="38">
        <f t="shared" si="3"/>
        <v>-43.400000000000006</v>
      </c>
    </row>
    <row r="76" spans="1:7" s="6" customFormat="1" ht="16.5" customHeight="1" x14ac:dyDescent="0.25">
      <c r="A76" s="30" t="s">
        <v>65</v>
      </c>
      <c r="B76" s="31" t="s">
        <v>66</v>
      </c>
      <c r="C76" s="32">
        <f>SUM(C77:C79)</f>
        <v>6621.64545</v>
      </c>
      <c r="D76" s="32">
        <f>SUM(D77:D79)</f>
        <v>6616.0744599999998</v>
      </c>
      <c r="E76" s="34">
        <f t="shared" si="4"/>
        <v>99.915866984391329</v>
      </c>
      <c r="F76" s="34">
        <f t="shared" si="3"/>
        <v>-5.5709900000001653</v>
      </c>
    </row>
    <row r="77" spans="1:7" ht="0.75" hidden="1" customHeight="1" x14ac:dyDescent="0.25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 ht="15" customHeight="1" x14ac:dyDescent="0.25">
      <c r="A78" s="35" t="s">
        <v>69</v>
      </c>
      <c r="B78" s="51" t="s">
        <v>70</v>
      </c>
      <c r="C78" s="37">
        <v>6158.3604500000001</v>
      </c>
      <c r="D78" s="37">
        <v>6152.7915400000002</v>
      </c>
      <c r="E78" s="38">
        <f t="shared" si="4"/>
        <v>99.909571548381848</v>
      </c>
      <c r="F78" s="38">
        <f t="shared" si="3"/>
        <v>-5.5689099999999598</v>
      </c>
    </row>
    <row r="79" spans="1:7" x14ac:dyDescent="0.25">
      <c r="A79" s="35" t="s">
        <v>71</v>
      </c>
      <c r="B79" s="39" t="s">
        <v>72</v>
      </c>
      <c r="C79" s="37">
        <v>463.28500000000003</v>
      </c>
      <c r="D79" s="37">
        <v>463.28291999999999</v>
      </c>
      <c r="E79" s="38">
        <f t="shared" si="4"/>
        <v>99.999551032301923</v>
      </c>
      <c r="F79" s="38">
        <f t="shared" si="3"/>
        <v>-2.0800000000349428E-3</v>
      </c>
    </row>
    <row r="80" spans="1:7" s="6" customFormat="1" x14ac:dyDescent="0.25">
      <c r="A80" s="30" t="s">
        <v>81</v>
      </c>
      <c r="B80" s="31" t="s">
        <v>82</v>
      </c>
      <c r="C80" s="32">
        <f>C81</f>
        <v>2920.6515199999999</v>
      </c>
      <c r="D80" s="32">
        <f>SUM(D81)</f>
        <v>2895.875</v>
      </c>
      <c r="E80" s="34">
        <f t="shared" si="4"/>
        <v>99.151678321417819</v>
      </c>
      <c r="F80" s="34">
        <f t="shared" si="3"/>
        <v>-24.776519999999891</v>
      </c>
    </row>
    <row r="81" spans="1:6" ht="15.75" customHeight="1" x14ac:dyDescent="0.25">
      <c r="A81" s="35" t="s">
        <v>83</v>
      </c>
      <c r="B81" s="39" t="s">
        <v>225</v>
      </c>
      <c r="C81" s="37">
        <v>2920.6515199999999</v>
      </c>
      <c r="D81" s="37">
        <v>2895.875</v>
      </c>
      <c r="E81" s="38">
        <f t="shared" si="4"/>
        <v>99.151678321417819</v>
      </c>
      <c r="F81" s="38">
        <f t="shared" si="3"/>
        <v>-24.776519999999891</v>
      </c>
    </row>
    <row r="82" spans="1:6" s="6" customFormat="1" ht="0.75" hidden="1" customHeight="1" x14ac:dyDescent="0.25">
      <c r="A82" s="52">
        <v>1000</v>
      </c>
      <c r="B82" s="31" t="s">
        <v>84</v>
      </c>
      <c r="C82" s="32">
        <f>SUM(C83:C86)</f>
        <v>0</v>
      </c>
      <c r="D82" s="32">
        <f>SUM(D83:D86)</f>
        <v>0</v>
      </c>
      <c r="E82" s="34" t="e">
        <f t="shared" si="4"/>
        <v>#DIV/0!</v>
      </c>
      <c r="F82" s="34">
        <f t="shared" si="3"/>
        <v>0</v>
      </c>
    </row>
    <row r="83" spans="1:6" ht="0.75" hidden="1" customHeight="1" x14ac:dyDescent="0.25">
      <c r="A83" s="53">
        <v>1001</v>
      </c>
      <c r="B83" s="54" t="s">
        <v>85</v>
      </c>
      <c r="C83" s="37"/>
      <c r="D83" s="37"/>
      <c r="E83" s="38" t="e">
        <f t="shared" si="4"/>
        <v>#DIV/0!</v>
      </c>
      <c r="F83" s="38">
        <f t="shared" si="3"/>
        <v>0</v>
      </c>
    </row>
    <row r="84" spans="1:6" hidden="1" x14ac:dyDescent="0.25">
      <c r="A84" s="53">
        <v>1003</v>
      </c>
      <c r="B84" s="54" t="s">
        <v>86</v>
      </c>
      <c r="C84" s="37">
        <v>0</v>
      </c>
      <c r="D84" s="37">
        <v>0</v>
      </c>
      <c r="E84" s="38" t="e">
        <f t="shared" si="4"/>
        <v>#DIV/0!</v>
      </c>
      <c r="F84" s="38">
        <f t="shared" si="3"/>
        <v>0</v>
      </c>
    </row>
    <row r="85" spans="1:6" hidden="1" x14ac:dyDescent="0.25">
      <c r="A85" s="53">
        <v>1004</v>
      </c>
      <c r="B85" s="54" t="s">
        <v>87</v>
      </c>
      <c r="C85" s="37"/>
      <c r="D85" s="55"/>
      <c r="E85" s="38" t="e">
        <f t="shared" si="4"/>
        <v>#DIV/0!</v>
      </c>
      <c r="F85" s="38">
        <f t="shared" si="3"/>
        <v>0</v>
      </c>
    </row>
    <row r="86" spans="1:6" hidden="1" x14ac:dyDescent="0.25">
      <c r="A86" s="35" t="s">
        <v>88</v>
      </c>
      <c r="B86" s="39" t="s">
        <v>89</v>
      </c>
      <c r="C86" s="37">
        <v>0</v>
      </c>
      <c r="D86" s="37">
        <v>0</v>
      </c>
      <c r="E86" s="38"/>
      <c r="F86" s="38">
        <f t="shared" si="3"/>
        <v>0</v>
      </c>
    </row>
    <row r="87" spans="1:6" x14ac:dyDescent="0.25">
      <c r="A87" s="30" t="s">
        <v>90</v>
      </c>
      <c r="B87" s="31" t="s">
        <v>91</v>
      </c>
      <c r="C87" s="32">
        <f>C88+C89+C90+C91+C92</f>
        <v>31.634</v>
      </c>
      <c r="D87" s="32">
        <f>D88+D89+D90+D91+D92</f>
        <v>31.634</v>
      </c>
      <c r="E87" s="38">
        <f t="shared" si="4"/>
        <v>100</v>
      </c>
      <c r="F87" s="22">
        <f>F88+F89+F90+F91+F92</f>
        <v>0</v>
      </c>
    </row>
    <row r="88" spans="1:6" ht="17.25" customHeight="1" x14ac:dyDescent="0.25">
      <c r="A88" s="35" t="s">
        <v>92</v>
      </c>
      <c r="B88" s="39" t="s">
        <v>93</v>
      </c>
      <c r="C88" s="37">
        <v>31.634</v>
      </c>
      <c r="D88" s="37">
        <v>31.634</v>
      </c>
      <c r="E88" s="38">
        <f t="shared" si="4"/>
        <v>100</v>
      </c>
      <c r="F88" s="38">
        <f>SUM(D88-C88)</f>
        <v>0</v>
      </c>
    </row>
    <row r="89" spans="1:6" ht="15.75" hidden="1" customHeight="1" x14ac:dyDescent="0.25">
      <c r="A89" s="35" t="s">
        <v>94</v>
      </c>
      <c r="B89" s="39" t="s">
        <v>95</v>
      </c>
      <c r="C89" s="37"/>
      <c r="D89" s="37"/>
      <c r="E89" s="38" t="e">
        <f t="shared" si="4"/>
        <v>#DIV/0!</v>
      </c>
      <c r="F89" s="38">
        <f>SUM(D89-C89)</f>
        <v>0</v>
      </c>
    </row>
    <row r="90" spans="1:6" ht="15.75" hidden="1" customHeight="1" x14ac:dyDescent="0.25">
      <c r="A90" s="35" t="s">
        <v>96</v>
      </c>
      <c r="B90" s="39" t="s">
        <v>97</v>
      </c>
      <c r="C90" s="37"/>
      <c r="D90" s="37"/>
      <c r="E90" s="38" t="e">
        <f t="shared" si="4"/>
        <v>#DIV/0!</v>
      </c>
      <c r="F90" s="38"/>
    </row>
    <row r="91" spans="1:6" ht="15.75" hidden="1" customHeight="1" x14ac:dyDescent="0.25">
      <c r="A91" s="35" t="s">
        <v>98</v>
      </c>
      <c r="B91" s="39" t="s">
        <v>99</v>
      </c>
      <c r="C91" s="37"/>
      <c r="D91" s="37"/>
      <c r="E91" s="38" t="e">
        <f t="shared" si="4"/>
        <v>#DIV/0!</v>
      </c>
      <c r="F91" s="38"/>
    </row>
    <row r="92" spans="1:6" ht="15.75" hidden="1" customHeight="1" x14ac:dyDescent="0.25">
      <c r="A92" s="35" t="s">
        <v>100</v>
      </c>
      <c r="B92" s="39" t="s">
        <v>101</v>
      </c>
      <c r="C92" s="37"/>
      <c r="D92" s="37"/>
      <c r="E92" s="38" t="e">
        <f t="shared" si="4"/>
        <v>#DIV/0!</v>
      </c>
      <c r="F92" s="38"/>
    </row>
    <row r="93" spans="1:6" s="6" customFormat="1" ht="15.75" hidden="1" customHeight="1" x14ac:dyDescent="0.25">
      <c r="A93" s="52">
        <v>1400</v>
      </c>
      <c r="B93" s="56" t="s">
        <v>109</v>
      </c>
      <c r="C93" s="48">
        <f>C94+C95+C96</f>
        <v>0</v>
      </c>
      <c r="D93" s="48">
        <f>SUM(D94:D96)</f>
        <v>0</v>
      </c>
      <c r="E93" s="34" t="e">
        <f t="shared" si="4"/>
        <v>#DIV/0!</v>
      </c>
      <c r="F93" s="34">
        <f t="shared" si="3"/>
        <v>0</v>
      </c>
    </row>
    <row r="94" spans="1:6" ht="15.75" hidden="1" customHeight="1" x14ac:dyDescent="0.25">
      <c r="A94" s="53">
        <v>1401</v>
      </c>
      <c r="B94" s="54" t="s">
        <v>110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 x14ac:dyDescent="0.25">
      <c r="A95" s="53">
        <v>1402</v>
      </c>
      <c r="B95" s="54" t="s">
        <v>111</v>
      </c>
      <c r="C95" s="49"/>
      <c r="D95" s="37"/>
      <c r="E95" s="38" t="e">
        <f t="shared" si="4"/>
        <v>#DIV/0!</v>
      </c>
      <c r="F95" s="38">
        <f t="shared" si="3"/>
        <v>0</v>
      </c>
    </row>
    <row r="96" spans="1:6" ht="15.75" hidden="1" customHeight="1" x14ac:dyDescent="0.25">
      <c r="A96" s="53">
        <v>1403</v>
      </c>
      <c r="B96" s="54" t="s">
        <v>112</v>
      </c>
      <c r="C96" s="49">
        <v>0</v>
      </c>
      <c r="D96" s="37">
        <v>0</v>
      </c>
      <c r="E96" s="38" t="e">
        <f t="shared" si="4"/>
        <v>#DIV/0!</v>
      </c>
      <c r="F96" s="38">
        <f t="shared" si="3"/>
        <v>0</v>
      </c>
    </row>
    <row r="97" spans="1:8" s="6" customFormat="1" ht="15.75" customHeight="1" x14ac:dyDescent="0.25">
      <c r="A97" s="52"/>
      <c r="B97" s="57" t="s">
        <v>113</v>
      </c>
      <c r="C97" s="243">
        <f>C55+C63+C71+C76+C80+C82+C87+C65+C93</f>
        <v>14152.11717</v>
      </c>
      <c r="D97" s="243">
        <f>D55+D63+D71+D76+D80+D82+D87+D65+D93</f>
        <v>13936.762209999999</v>
      </c>
      <c r="E97" s="34">
        <f t="shared" si="4"/>
        <v>98.478284503914963</v>
      </c>
      <c r="F97" s="34">
        <f t="shared" si="3"/>
        <v>-215.35496000000057</v>
      </c>
      <c r="G97" s="193"/>
      <c r="H97" s="193"/>
    </row>
    <row r="98" spans="1:8" x14ac:dyDescent="0.25">
      <c r="C98" s="124"/>
      <c r="D98" s="100"/>
    </row>
    <row r="99" spans="1:8" s="65" customFormat="1" ht="16.5" customHeight="1" x14ac:dyDescent="0.2">
      <c r="A99" s="63" t="s">
        <v>114</v>
      </c>
      <c r="B99" s="63"/>
      <c r="C99" s="178"/>
      <c r="D99" s="178"/>
      <c r="E99" s="64"/>
    </row>
    <row r="100" spans="1:8" s="65" customFormat="1" ht="20.25" customHeight="1" x14ac:dyDescent="0.2">
      <c r="A100" s="66" t="s">
        <v>115</v>
      </c>
      <c r="B100" s="66"/>
      <c r="C100" s="65" t="s">
        <v>116</v>
      </c>
    </row>
    <row r="101" spans="1:8" ht="13.5" customHeight="1" x14ac:dyDescent="0.25">
      <c r="C101" s="118"/>
    </row>
    <row r="103" spans="1:8" ht="5.25" customHeight="1" x14ac:dyDescent="0.25"/>
    <row r="142" hidden="1" x14ac:dyDescent="0.25"/>
  </sheetData>
  <customSheetViews>
    <customSheetView guid="{4D5E6ACC-9055-4DE9-8C20-9052F3C35D19}" scale="70" showPageBreaks="1" printArea="1" hiddenRows="1" state="hidden" view="pageBreakPreview" topLeftCell="A28">
      <selection activeCell="C97" sqref="C97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5C539BE6-C8E0-453F-AB5E-9E58094195EA}" scale="70" showPageBreaks="1" printArea="1" hiddenRows="1" view="pageBreakPreview" topLeftCell="A31">
      <selection activeCell="A34" sqref="A34:B34"/>
      <pageMargins left="0.70866141732283472" right="0.70866141732283472" top="0.74803149606299213" bottom="0.74803149606299213" header="0.31496062992125984" footer="0.31496062992125984"/>
      <pageSetup paperSize="9" scale="55" orientation="portrait" r:id="rId2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A52382B-3765-4E8C-903F-6B8919B7242E}" scale="70" showPageBreaks="1" printArea="1" hiddenRows="1" view="pageBreakPreview" topLeftCell="A25">
      <selection activeCell="C74" sqref="C74"/>
      <pageMargins left="0.7" right="0.7" top="0.75" bottom="0.75" header="0.3" footer="0.3"/>
      <pageSetup paperSize="9" scale="55" orientation="portrait" r:id="rId5"/>
    </customSheetView>
    <customSheetView guid="{B31C8DB7-3E78-4144-A6B5-8DE36DE63F0E}" showPageBreaks="1" printArea="1" hiddenRows="1" topLeftCell="A25">
      <selection activeCell="B39" sqref="B39"/>
      <pageMargins left="0.7" right="0.7" top="0.75" bottom="0.75" header="0.3" footer="0.3"/>
      <pageSetup paperSize="9" scale="57" orientation="portrait" r:id="rId6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7"/>
    </customSheetView>
    <customSheetView guid="{B30CE22D-C12F-4E12-8BB9-3AAE0A6991CC}" scale="70" showPageBreaks="1" printArea="1" hiddenRows="1" view="pageBreakPreview" topLeftCell="A26">
      <selection activeCell="D97" sqref="D97"/>
      <pageMargins left="0.70866141732283472" right="0.70866141732283472" top="0.74803149606299213" bottom="0.74803149606299213" header="0.31496062992125984" footer="0.31496062992125984"/>
      <pageSetup paperSize="9" scale="56" orientation="portrait" r:id="rId8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3" orientation="portrait" r:id="rId9"/>
    </customSheetView>
    <customSheetView guid="{3DCB9AAA-F09C-4EA6-B992-F93E466D374A}" printArea="1" hiddenRows="1" topLeftCell="A37">
      <selection activeCell="B100" sqref="B100"/>
      <pageMargins left="0.7" right="0.7" top="0.75" bottom="0.75" header="0.3" footer="0.3"/>
      <pageSetup paperSize="9" scale="57" orientation="portrait" r:id="rId10"/>
    </customSheetView>
    <customSheetView guid="{F85EE840-0C31-454A-8951-832C2E9E0600}" scale="70" showPageBreaks="1" printArea="1" hiddenRows="1" state="hidden" view="pageBreakPreview" topLeftCell="A28">
      <selection activeCell="C69" sqref="C69"/>
      <pageMargins left="0.70866141732283472" right="0.70866141732283472" top="0.74803149606299213" bottom="0.74803149606299213" header="0.31496062992125984" footer="0.31496062992125984"/>
      <pageSetup paperSize="9" scale="55" orientation="portrait" r:id="rId11"/>
    </customSheetView>
    <customSheetView guid="{F1E84C44-1ACD-474A-BDE0-C7088DB6C590}" scale="70" showPageBreaks="1" printArea="1" hiddenRows="1" state="hidden" view="pageBreakPreview" topLeftCell="A28">
      <selection activeCell="C97" sqref="C97"/>
      <pageMargins left="0.70866141732283472" right="0.70866141732283472" top="0.74803149606299213" bottom="0.74803149606299213" header="0.31496062992125984" footer="0.31496062992125984"/>
      <pageSetup paperSize="9" scale="55" orientation="portrait" r:id="rId12"/>
    </customSheetView>
    <customSheetView guid="{61528DAC-5C4C-48F4-ADE2-8A724B05A086}" scale="70" showPageBreaks="1" printArea="1" hiddenRows="1" state="hidden" view="pageBreakPreview" topLeftCell="A28">
      <selection activeCell="C97" sqref="C97"/>
      <pageMargins left="0.70866141732283472" right="0.70866141732283472" top="0.74803149606299213" bottom="0.74803149606299213" header="0.31496062992125984" footer="0.31496062992125984"/>
      <pageSetup paperSize="9" scale="55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H143"/>
  <sheetViews>
    <sheetView view="pageBreakPreview" topLeftCell="A34" zoomScale="70" zoomScaleNormal="100" zoomScaleSheetLayoutView="70" workbookViewId="0">
      <selection activeCell="C100" sqref="C100"/>
    </sheetView>
  </sheetViews>
  <sheetFormatPr defaultRowHeight="15.75" x14ac:dyDescent="0.2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12.85546875" style="62" customWidth="1"/>
    <col min="7" max="7" width="15.5703125" style="1" bestFit="1" customWidth="1"/>
    <col min="8" max="8" width="11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 x14ac:dyDescent="0.25">
      <c r="A1" s="599" t="s">
        <v>412</v>
      </c>
      <c r="B1" s="599"/>
      <c r="C1" s="599"/>
      <c r="D1" s="599"/>
      <c r="E1" s="599"/>
      <c r="F1" s="599"/>
    </row>
    <row r="2" spans="1:6" x14ac:dyDescent="0.25">
      <c r="A2" s="599"/>
      <c r="B2" s="599"/>
      <c r="C2" s="599"/>
      <c r="D2" s="599"/>
      <c r="E2" s="599"/>
      <c r="F2" s="599"/>
    </row>
    <row r="3" spans="1:6" ht="63" x14ac:dyDescent="0.25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 x14ac:dyDescent="0.25">
      <c r="A4" s="3"/>
      <c r="B4" s="4" t="s">
        <v>4</v>
      </c>
      <c r="C4" s="5">
        <f>C5+C12+C14+C17+C7</f>
        <v>1274.1300000000001</v>
      </c>
      <c r="D4" s="5">
        <f>D5+D12+D14+D17+D7</f>
        <v>1452.3761</v>
      </c>
      <c r="E4" s="5">
        <f>SUM(D4/C4*100)</f>
        <v>113.98963214114728</v>
      </c>
      <c r="F4" s="5">
        <f>SUM(D4-C4)</f>
        <v>178.24609999999984</v>
      </c>
    </row>
    <row r="5" spans="1:6" s="6" customFormat="1" x14ac:dyDescent="0.25">
      <c r="A5" s="68">
        <v>1010000000</v>
      </c>
      <c r="B5" s="67" t="s">
        <v>5</v>
      </c>
      <c r="C5" s="5">
        <f>C6</f>
        <v>171</v>
      </c>
      <c r="D5" s="5">
        <f>D6</f>
        <v>214.43786</v>
      </c>
      <c r="E5" s="5">
        <f t="shared" ref="E5:E53" si="0">SUM(D5/C5*100)</f>
        <v>125.40225730994152</v>
      </c>
      <c r="F5" s="5">
        <f t="shared" ref="F5:F53" si="1">SUM(D5-C5)</f>
        <v>43.437860000000001</v>
      </c>
    </row>
    <row r="6" spans="1:6" x14ac:dyDescent="0.25">
      <c r="A6" s="7">
        <v>1010200001</v>
      </c>
      <c r="B6" s="8" t="s">
        <v>220</v>
      </c>
      <c r="C6" s="9">
        <v>171</v>
      </c>
      <c r="D6" s="10">
        <v>214.43786</v>
      </c>
      <c r="E6" s="9">
        <f t="shared" ref="E6:E11" si="2">SUM(D6/C6*100)</f>
        <v>125.40225730994152</v>
      </c>
      <c r="F6" s="9">
        <f t="shared" si="1"/>
        <v>43.437860000000001</v>
      </c>
    </row>
    <row r="7" spans="1:6" ht="31.5" x14ac:dyDescent="0.25">
      <c r="A7" s="3">
        <v>1030000000</v>
      </c>
      <c r="B7" s="13" t="s">
        <v>259</v>
      </c>
      <c r="C7" s="5">
        <f>C8+C10+C9</f>
        <v>616.13</v>
      </c>
      <c r="D7" s="247">
        <f>D8+D10+D9+D11</f>
        <v>728.41717000000006</v>
      </c>
      <c r="E7" s="5">
        <f t="shared" si="2"/>
        <v>118.22459058964829</v>
      </c>
      <c r="F7" s="5">
        <f t="shared" si="1"/>
        <v>112.28717000000006</v>
      </c>
    </row>
    <row r="8" spans="1:6" x14ac:dyDescent="0.25">
      <c r="A8" s="7">
        <v>1030223001</v>
      </c>
      <c r="B8" s="8" t="s">
        <v>261</v>
      </c>
      <c r="C8" s="9">
        <v>229.816</v>
      </c>
      <c r="D8" s="10">
        <v>365.16064</v>
      </c>
      <c r="E8" s="9">
        <f t="shared" si="2"/>
        <v>158.89260973996588</v>
      </c>
      <c r="F8" s="9">
        <f t="shared" si="1"/>
        <v>135.34464</v>
      </c>
    </row>
    <row r="9" spans="1:6" x14ac:dyDescent="0.25">
      <c r="A9" s="7">
        <v>1030224001</v>
      </c>
      <c r="B9" s="8" t="s">
        <v>267</v>
      </c>
      <c r="C9" s="9">
        <v>2.4649999999999999</v>
      </c>
      <c r="D9" s="10">
        <v>1.97244</v>
      </c>
      <c r="E9" s="9">
        <f t="shared" si="2"/>
        <v>80.017849898580124</v>
      </c>
      <c r="F9" s="9">
        <f t="shared" si="1"/>
        <v>-0.49255999999999989</v>
      </c>
    </row>
    <row r="10" spans="1:6" x14ac:dyDescent="0.25">
      <c r="A10" s="7">
        <v>1030225001</v>
      </c>
      <c r="B10" s="8" t="s">
        <v>260</v>
      </c>
      <c r="C10" s="9">
        <v>383.84899999999999</v>
      </c>
      <c r="D10" s="10">
        <v>403.17858999999999</v>
      </c>
      <c r="E10" s="9">
        <f t="shared" si="2"/>
        <v>105.03572759079742</v>
      </c>
      <c r="F10" s="9">
        <f t="shared" si="1"/>
        <v>19.329589999999996</v>
      </c>
    </row>
    <row r="11" spans="1:6" x14ac:dyDescent="0.25">
      <c r="A11" s="7">
        <v>1030226001</v>
      </c>
      <c r="B11" s="8" t="s">
        <v>269</v>
      </c>
      <c r="C11" s="9">
        <v>0</v>
      </c>
      <c r="D11" s="10">
        <v>-41.894500000000001</v>
      </c>
      <c r="E11" s="9" t="e">
        <f t="shared" si="2"/>
        <v>#DIV/0!</v>
      </c>
      <c r="F11" s="9">
        <f t="shared" si="1"/>
        <v>-41.894500000000001</v>
      </c>
    </row>
    <row r="12" spans="1:6" s="6" customFormat="1" x14ac:dyDescent="0.25">
      <c r="A12" s="68">
        <v>1050000000</v>
      </c>
      <c r="B12" s="67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 x14ac:dyDescent="0.25">
      <c r="A13" s="7">
        <v>1050300000</v>
      </c>
      <c r="B13" s="11" t="s">
        <v>221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 x14ac:dyDescent="0.25">
      <c r="A14" s="68">
        <v>1060000000</v>
      </c>
      <c r="B14" s="67" t="s">
        <v>129</v>
      </c>
      <c r="C14" s="5">
        <f>C15+C16</f>
        <v>469</v>
      </c>
      <c r="D14" s="5">
        <f>D15+D16</f>
        <v>501.27107000000001</v>
      </c>
      <c r="E14" s="5">
        <f t="shared" si="0"/>
        <v>106.88082515991471</v>
      </c>
      <c r="F14" s="5">
        <f t="shared" si="1"/>
        <v>32.271070000000009</v>
      </c>
    </row>
    <row r="15" spans="1:6" s="6" customFormat="1" ht="15.75" customHeight="1" x14ac:dyDescent="0.25">
      <c r="A15" s="7">
        <v>1060100000</v>
      </c>
      <c r="B15" s="11" t="s">
        <v>8</v>
      </c>
      <c r="C15" s="9">
        <v>124</v>
      </c>
      <c r="D15" s="10">
        <v>132.71872999999999</v>
      </c>
      <c r="E15" s="9">
        <f t="shared" si="0"/>
        <v>107.03123387096774</v>
      </c>
      <c r="F15" s="9">
        <f>SUM(D15-C15)</f>
        <v>8.7187299999999937</v>
      </c>
    </row>
    <row r="16" spans="1:6" ht="15.75" customHeight="1" x14ac:dyDescent="0.25">
      <c r="A16" s="7">
        <v>1060600000</v>
      </c>
      <c r="B16" s="11" t="s">
        <v>7</v>
      </c>
      <c r="C16" s="9">
        <v>345</v>
      </c>
      <c r="D16" s="10">
        <v>368.55234000000002</v>
      </c>
      <c r="E16" s="9">
        <f t="shared" si="0"/>
        <v>106.82676521739131</v>
      </c>
      <c r="F16" s="9">
        <f t="shared" si="1"/>
        <v>23.552340000000015</v>
      </c>
    </row>
    <row r="17" spans="1:6" s="6" customFormat="1" x14ac:dyDescent="0.25">
      <c r="A17" s="3">
        <v>1080000000</v>
      </c>
      <c r="B17" s="4" t="s">
        <v>10</v>
      </c>
      <c r="C17" s="5">
        <f>C18</f>
        <v>8</v>
      </c>
      <c r="D17" s="5">
        <f>D18</f>
        <v>8.25</v>
      </c>
      <c r="E17" s="5">
        <f t="shared" si="0"/>
        <v>103.125</v>
      </c>
      <c r="F17" s="5">
        <f t="shared" si="1"/>
        <v>0.25</v>
      </c>
    </row>
    <row r="18" spans="1:6" ht="17.25" customHeight="1" x14ac:dyDescent="0.25">
      <c r="A18" s="7">
        <v>1080400001</v>
      </c>
      <c r="B18" s="8" t="s">
        <v>253</v>
      </c>
      <c r="C18" s="9">
        <v>8</v>
      </c>
      <c r="D18" s="10">
        <v>8.25</v>
      </c>
      <c r="E18" s="9">
        <f t="shared" si="0"/>
        <v>103.125</v>
      </c>
      <c r="F18" s="9">
        <f t="shared" si="1"/>
        <v>0.25</v>
      </c>
    </row>
    <row r="19" spans="1:6" ht="49.5" hidden="1" customHeight="1" x14ac:dyDescent="0.25">
      <c r="A19" s="7">
        <v>1080714001</v>
      </c>
      <c r="B19" s="8" t="s">
        <v>218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 x14ac:dyDescent="0.25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 x14ac:dyDescent="0.25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 x14ac:dyDescent="0.25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 x14ac:dyDescent="0.25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 x14ac:dyDescent="0.25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 x14ac:dyDescent="0.25">
      <c r="A25" s="3"/>
      <c r="B25" s="4" t="s">
        <v>12</v>
      </c>
      <c r="C25" s="5">
        <f>C26+C29+C31+C36</f>
        <v>543.60199999999998</v>
      </c>
      <c r="D25" s="5">
        <f>D26+D29+D31+D36+D34</f>
        <v>813.13242000000002</v>
      </c>
      <c r="E25" s="5">
        <f t="shared" si="0"/>
        <v>149.58230838002805</v>
      </c>
      <c r="F25" s="5">
        <f t="shared" si="1"/>
        <v>269.53042000000005</v>
      </c>
    </row>
    <row r="26" spans="1:6" s="6" customFormat="1" ht="30" customHeight="1" x14ac:dyDescent="0.25">
      <c r="A26" s="68">
        <v>1110000000</v>
      </c>
      <c r="B26" s="69" t="s">
        <v>122</v>
      </c>
      <c r="C26" s="5">
        <f>C27+C28</f>
        <v>40</v>
      </c>
      <c r="D26" s="5">
        <f>D27+D28</f>
        <v>66.5</v>
      </c>
      <c r="E26" s="5">
        <f t="shared" si="0"/>
        <v>166.25</v>
      </c>
      <c r="F26" s="5">
        <f t="shared" si="1"/>
        <v>26.5</v>
      </c>
    </row>
    <row r="27" spans="1:6" x14ac:dyDescent="0.25">
      <c r="A27" s="16">
        <v>1110502501</v>
      </c>
      <c r="B27" s="17" t="s">
        <v>217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x14ac:dyDescent="0.25">
      <c r="A28" s="7">
        <v>1110503510</v>
      </c>
      <c r="B28" s="11" t="s">
        <v>216</v>
      </c>
      <c r="C28" s="12">
        <v>40</v>
      </c>
      <c r="D28" s="10">
        <v>66.5</v>
      </c>
      <c r="E28" s="9">
        <f t="shared" si="0"/>
        <v>166.25</v>
      </c>
      <c r="F28" s="9">
        <f t="shared" si="1"/>
        <v>26.5</v>
      </c>
    </row>
    <row r="29" spans="1:6" s="15" customFormat="1" ht="27.75" customHeight="1" x14ac:dyDescent="0.25">
      <c r="A29" s="68">
        <v>1130000000</v>
      </c>
      <c r="B29" s="69" t="s">
        <v>124</v>
      </c>
      <c r="C29" s="5">
        <f>C30</f>
        <v>100</v>
      </c>
      <c r="D29" s="5">
        <f>SUM(D30)</f>
        <v>358.87428999999997</v>
      </c>
      <c r="E29" s="5">
        <f t="shared" si="0"/>
        <v>358.87428999999997</v>
      </c>
      <c r="F29" s="5">
        <f t="shared" si="1"/>
        <v>258.87428999999997</v>
      </c>
    </row>
    <row r="30" spans="1:6" ht="27.75" customHeight="1" x14ac:dyDescent="0.25">
      <c r="A30" s="7">
        <v>1130206005</v>
      </c>
      <c r="B30" s="8" t="s">
        <v>14</v>
      </c>
      <c r="C30" s="9">
        <v>100</v>
      </c>
      <c r="D30" s="10">
        <v>358.87428999999997</v>
      </c>
      <c r="E30" s="9">
        <f t="shared" si="0"/>
        <v>358.87428999999997</v>
      </c>
      <c r="F30" s="9">
        <f t="shared" si="1"/>
        <v>258.87428999999997</v>
      </c>
    </row>
    <row r="31" spans="1:6" ht="18" customHeight="1" x14ac:dyDescent="0.25">
      <c r="A31" s="70">
        <v>1140000000</v>
      </c>
      <c r="B31" s="71" t="s">
        <v>125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9.25" customHeight="1" x14ac:dyDescent="0.25">
      <c r="A32" s="16">
        <v>1140200000</v>
      </c>
      <c r="B32" s="18" t="s">
        <v>126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33" customHeight="1" x14ac:dyDescent="0.25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3" customHeight="1" x14ac:dyDescent="0.25">
      <c r="A34" s="408">
        <v>1160000000</v>
      </c>
      <c r="B34" s="409" t="s">
        <v>236</v>
      </c>
      <c r="C34" s="5">
        <v>0</v>
      </c>
      <c r="D34" s="14">
        <f>SUM(D35)</f>
        <v>5.9382900000000003</v>
      </c>
      <c r="E34" s="9" t="e">
        <f>SUM(D34/C34*100)</f>
        <v>#DIV/0!</v>
      </c>
      <c r="F34" s="9">
        <f>SUM(D34-C34)</f>
        <v>5.9382900000000003</v>
      </c>
    </row>
    <row r="35" spans="1:7" ht="33" customHeight="1" x14ac:dyDescent="0.25">
      <c r="A35" s="7">
        <v>1160701000</v>
      </c>
      <c r="B35" s="8" t="s">
        <v>403</v>
      </c>
      <c r="C35" s="9"/>
      <c r="D35" s="10">
        <v>5.9382900000000003</v>
      </c>
      <c r="E35" s="9"/>
      <c r="F35" s="9"/>
    </row>
    <row r="36" spans="1:7" ht="15" customHeight="1" x14ac:dyDescent="0.25">
      <c r="A36" s="3">
        <v>1170000000</v>
      </c>
      <c r="B36" s="13" t="s">
        <v>128</v>
      </c>
      <c r="C36" s="5">
        <f>C37+C38</f>
        <v>403.60199999999998</v>
      </c>
      <c r="D36" s="5">
        <f>D37+D38</f>
        <v>381.81984</v>
      </c>
      <c r="E36" s="5">
        <f t="shared" si="0"/>
        <v>94.603059449655859</v>
      </c>
      <c r="F36" s="5">
        <f t="shared" si="1"/>
        <v>-21.782159999999976</v>
      </c>
    </row>
    <row r="37" spans="1:7" ht="19.5" customHeight="1" x14ac:dyDescent="0.25">
      <c r="A37" s="7">
        <v>1170105010</v>
      </c>
      <c r="B37" s="8" t="s">
        <v>15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.75" customHeight="1" x14ac:dyDescent="0.25">
      <c r="A38" s="7">
        <v>1171503010</v>
      </c>
      <c r="B38" s="11" t="s">
        <v>406</v>
      </c>
      <c r="C38" s="9">
        <v>403.60199999999998</v>
      </c>
      <c r="D38" s="10">
        <v>381.81984</v>
      </c>
      <c r="E38" s="9">
        <f t="shared" si="0"/>
        <v>94.603059449655859</v>
      </c>
      <c r="F38" s="9">
        <f t="shared" si="1"/>
        <v>-21.782159999999976</v>
      </c>
    </row>
    <row r="39" spans="1:7" s="6" customFormat="1" ht="15" customHeight="1" x14ac:dyDescent="0.25">
      <c r="A39" s="3">
        <v>1000000000</v>
      </c>
      <c r="B39" s="4" t="s">
        <v>16</v>
      </c>
      <c r="C39" s="125">
        <f>SUM(C4,C25)</f>
        <v>1817.732</v>
      </c>
      <c r="D39" s="125">
        <f>D4+D25</f>
        <v>2265.5085199999999</v>
      </c>
      <c r="E39" s="5">
        <f t="shared" si="0"/>
        <v>124.6338030028629</v>
      </c>
      <c r="F39" s="5">
        <f t="shared" si="1"/>
        <v>447.77651999999989</v>
      </c>
    </row>
    <row r="40" spans="1:7" s="6" customFormat="1" x14ac:dyDescent="0.25">
      <c r="A40" s="3">
        <v>2000000000</v>
      </c>
      <c r="B40" s="4" t="s">
        <v>17</v>
      </c>
      <c r="C40" s="224">
        <f>C41+C42+C43+C44+C51+C52</f>
        <v>11802.837669999999</v>
      </c>
      <c r="D40" s="5">
        <f>D41+D42+D43+D44+D51+D52</f>
        <v>11703.23337</v>
      </c>
      <c r="E40" s="5">
        <f t="shared" si="0"/>
        <v>99.15609870452451</v>
      </c>
      <c r="F40" s="5">
        <f t="shared" si="1"/>
        <v>-99.604299999999057</v>
      </c>
      <c r="G40" s="19"/>
    </row>
    <row r="41" spans="1:7" ht="16.5" customHeight="1" x14ac:dyDescent="0.25">
      <c r="A41" s="16">
        <v>2021000000</v>
      </c>
      <c r="B41" s="17" t="s">
        <v>18</v>
      </c>
      <c r="C41" s="12">
        <v>4903.5</v>
      </c>
      <c r="D41" s="20">
        <v>4903.5</v>
      </c>
      <c r="E41" s="9">
        <v>0</v>
      </c>
      <c r="F41" s="9">
        <f t="shared" si="1"/>
        <v>0</v>
      </c>
    </row>
    <row r="42" spans="1:7" ht="17.25" customHeight="1" x14ac:dyDescent="0.25">
      <c r="A42" s="16">
        <v>2021500200</v>
      </c>
      <c r="B42" s="17" t="s">
        <v>223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x14ac:dyDescent="0.25">
      <c r="A43" s="16">
        <v>2022000000</v>
      </c>
      <c r="B43" s="17" t="s">
        <v>19</v>
      </c>
      <c r="C43" s="12">
        <v>5918.9191000000001</v>
      </c>
      <c r="D43" s="10">
        <v>5918.9191000000001</v>
      </c>
      <c r="E43" s="9">
        <f t="shared" si="0"/>
        <v>100</v>
      </c>
      <c r="F43" s="9">
        <f t="shared" si="1"/>
        <v>0</v>
      </c>
    </row>
    <row r="44" spans="1:7" ht="17.25" customHeight="1" x14ac:dyDescent="0.25">
      <c r="A44" s="16">
        <v>2023000000</v>
      </c>
      <c r="B44" s="17" t="s">
        <v>20</v>
      </c>
      <c r="C44" s="12">
        <v>301.49356999999998</v>
      </c>
      <c r="D44" s="180">
        <v>301.49356999999998</v>
      </c>
      <c r="E44" s="9">
        <f t="shared" si="0"/>
        <v>100</v>
      </c>
      <c r="F44" s="9">
        <f t="shared" si="1"/>
        <v>0</v>
      </c>
    </row>
    <row r="45" spans="1:7" ht="18" hidden="1" customHeight="1" x14ac:dyDescent="0.25">
      <c r="A45" s="16">
        <v>2020400000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4.25" hidden="1" customHeight="1" x14ac:dyDescent="0.25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t="16.5" hidden="1" customHeight="1" x14ac:dyDescent="0.25">
      <c r="A47" s="122">
        <v>2180000000</v>
      </c>
      <c r="B47" s="123" t="s">
        <v>280</v>
      </c>
      <c r="C47" s="184">
        <f>C48</f>
        <v>0</v>
      </c>
      <c r="D47" s="233">
        <f>D48</f>
        <v>0</v>
      </c>
      <c r="E47" s="9" t="e">
        <f t="shared" si="0"/>
        <v>#DIV/0!</v>
      </c>
      <c r="F47" s="9">
        <f t="shared" si="1"/>
        <v>0</v>
      </c>
    </row>
    <row r="48" spans="1:7" ht="18" hidden="1" customHeight="1" x14ac:dyDescent="0.25">
      <c r="A48" s="16">
        <v>2180501010</v>
      </c>
      <c r="B48" s="18" t="s">
        <v>279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8" ht="19.5" hidden="1" customHeight="1" x14ac:dyDescent="0.25">
      <c r="A49" s="7">
        <v>2190500005</v>
      </c>
      <c r="B49" s="11" t="s">
        <v>23</v>
      </c>
      <c r="C49" s="14"/>
      <c r="D49" s="14"/>
      <c r="E49" s="9" t="e">
        <f t="shared" si="0"/>
        <v>#DIV/0!</v>
      </c>
      <c r="F49" s="9">
        <f t="shared" si="1"/>
        <v>0</v>
      </c>
    </row>
    <row r="50" spans="1:8" s="6" customFormat="1" ht="35.25" hidden="1" customHeight="1" x14ac:dyDescent="0.25">
      <c r="A50" s="3">
        <v>3000000000</v>
      </c>
      <c r="B50" s="13" t="s">
        <v>24</v>
      </c>
      <c r="C50" s="120">
        <v>0</v>
      </c>
      <c r="D50" s="14">
        <v>0</v>
      </c>
      <c r="E50" s="9" t="e">
        <f t="shared" si="0"/>
        <v>#DIV/0!</v>
      </c>
      <c r="F50" s="9">
        <f t="shared" si="1"/>
        <v>0</v>
      </c>
    </row>
    <row r="51" spans="1:8" s="6" customFormat="1" ht="19.5" customHeight="1" x14ac:dyDescent="0.25">
      <c r="A51" s="7">
        <v>2020400000</v>
      </c>
      <c r="B51" s="8" t="s">
        <v>21</v>
      </c>
      <c r="C51" s="12">
        <v>678.92499999999995</v>
      </c>
      <c r="D51" s="10">
        <v>579.32069999999999</v>
      </c>
      <c r="E51" s="9">
        <f t="shared" si="0"/>
        <v>85.329115881724789</v>
      </c>
      <c r="F51" s="9">
        <f t="shared" si="1"/>
        <v>-99.604299999999967</v>
      </c>
    </row>
    <row r="52" spans="1:8" s="6" customFormat="1" ht="15" customHeight="1" x14ac:dyDescent="0.25">
      <c r="A52" s="7">
        <v>2070500010</v>
      </c>
      <c r="B52" s="11" t="s">
        <v>281</v>
      </c>
      <c r="C52" s="12"/>
      <c r="D52" s="10"/>
      <c r="E52" s="9">
        <v>0</v>
      </c>
      <c r="F52" s="9">
        <f>SUM(D52-C52)</f>
        <v>0</v>
      </c>
    </row>
    <row r="53" spans="1:8" s="6" customFormat="1" ht="18" customHeight="1" x14ac:dyDescent="0.25">
      <c r="A53" s="3"/>
      <c r="B53" s="4" t="s">
        <v>25</v>
      </c>
      <c r="C53" s="240">
        <f>C39+C40</f>
        <v>13620.569669999999</v>
      </c>
      <c r="D53" s="240">
        <f>D39+D40</f>
        <v>13968.741889999999</v>
      </c>
      <c r="E53" s="5">
        <f t="shared" si="0"/>
        <v>102.55622362673176</v>
      </c>
      <c r="F53" s="5">
        <f t="shared" si="1"/>
        <v>348.17222000000038</v>
      </c>
      <c r="G53" s="93"/>
      <c r="H53" s="193"/>
    </row>
    <row r="54" spans="1:8" s="6" customFormat="1" x14ac:dyDescent="0.25">
      <c r="A54" s="3"/>
      <c r="B54" s="21" t="s">
        <v>299</v>
      </c>
      <c r="C54" s="92">
        <f>C53-C100</f>
        <v>-1002.1408400000018</v>
      </c>
      <c r="D54" s="92">
        <f>D53-D100</f>
        <v>-291.41324000000168</v>
      </c>
      <c r="E54" s="22"/>
      <c r="F54" s="22"/>
    </row>
    <row r="55" spans="1:8" x14ac:dyDescent="0.25">
      <c r="A55" s="23"/>
      <c r="B55" s="24"/>
      <c r="C55" s="113"/>
      <c r="D55" s="25"/>
      <c r="E55" s="26"/>
      <c r="F55" s="27"/>
    </row>
    <row r="56" spans="1:8" ht="63" x14ac:dyDescent="0.25">
      <c r="A56" s="28" t="s">
        <v>0</v>
      </c>
      <c r="B56" s="28" t="s">
        <v>26</v>
      </c>
      <c r="C56" s="72" t="s">
        <v>394</v>
      </c>
      <c r="D56" s="399" t="s">
        <v>409</v>
      </c>
      <c r="E56" s="72" t="s">
        <v>2</v>
      </c>
      <c r="F56" s="73" t="s">
        <v>3</v>
      </c>
    </row>
    <row r="57" spans="1:8" x14ac:dyDescent="0.25">
      <c r="A57" s="29">
        <v>1</v>
      </c>
      <c r="B57" s="28">
        <v>2</v>
      </c>
      <c r="C57" s="86">
        <v>3</v>
      </c>
      <c r="D57" s="86">
        <v>4</v>
      </c>
      <c r="E57" s="86">
        <v>5</v>
      </c>
      <c r="F57" s="86">
        <v>6</v>
      </c>
    </row>
    <row r="58" spans="1:8" s="6" customFormat="1" ht="15" customHeight="1" x14ac:dyDescent="0.25">
      <c r="A58" s="30" t="s">
        <v>27</v>
      </c>
      <c r="B58" s="31" t="s">
        <v>28</v>
      </c>
      <c r="C58" s="32">
        <f>C59+C60+C61+C62+C63+C65+C64</f>
        <v>1694.3889999999999</v>
      </c>
      <c r="D58" s="33">
        <f>D59+D60+D61+D62+D63+D65+D64</f>
        <v>1551.4588799999999</v>
      </c>
      <c r="E58" s="34">
        <f>SUM(D58/C58*100)</f>
        <v>91.564503782779511</v>
      </c>
      <c r="F58" s="34">
        <f>SUM(D58-C58)</f>
        <v>-142.93011999999999</v>
      </c>
    </row>
    <row r="59" spans="1:8" s="6" customFormat="1" ht="16.5" hidden="1" customHeight="1" x14ac:dyDescent="0.25">
      <c r="A59" s="35" t="s">
        <v>29</v>
      </c>
      <c r="B59" s="36" t="s">
        <v>30</v>
      </c>
      <c r="C59" s="37"/>
      <c r="D59" s="37"/>
      <c r="E59" s="38"/>
      <c r="F59" s="38"/>
    </row>
    <row r="60" spans="1:8" ht="15" customHeight="1" x14ac:dyDescent="0.25">
      <c r="A60" s="35" t="s">
        <v>31</v>
      </c>
      <c r="B60" s="39" t="s">
        <v>32</v>
      </c>
      <c r="C60" s="37">
        <v>1682.5119999999999</v>
      </c>
      <c r="D60" s="37">
        <v>1546.2948799999999</v>
      </c>
      <c r="E60" s="38">
        <f t="shared" ref="E60:E100" si="3">SUM(D60/C60*100)</f>
        <v>91.903943627147981</v>
      </c>
      <c r="F60" s="38">
        <f t="shared" ref="F60:F100" si="4">SUM(D60-C60)</f>
        <v>-136.21712000000002</v>
      </c>
    </row>
    <row r="61" spans="1:8" ht="15.75" hidden="1" customHeight="1" x14ac:dyDescent="0.25">
      <c r="A61" s="35" t="s">
        <v>33</v>
      </c>
      <c r="B61" s="39" t="s">
        <v>34</v>
      </c>
      <c r="C61" s="37"/>
      <c r="D61" s="37"/>
      <c r="E61" s="38"/>
      <c r="F61" s="38">
        <f t="shared" si="4"/>
        <v>0</v>
      </c>
    </row>
    <row r="62" spans="1:8" ht="18" hidden="1" customHeight="1" x14ac:dyDescent="0.25">
      <c r="A62" s="35" t="s">
        <v>35</v>
      </c>
      <c r="B62" s="39" t="s">
        <v>36</v>
      </c>
      <c r="C62" s="37"/>
      <c r="D62" s="37"/>
      <c r="E62" s="38" t="e">
        <f t="shared" si="3"/>
        <v>#DIV/0!</v>
      </c>
      <c r="F62" s="38">
        <f t="shared" si="4"/>
        <v>0</v>
      </c>
    </row>
    <row r="63" spans="1:8" ht="17.25" customHeight="1" x14ac:dyDescent="0.25">
      <c r="A63" s="35" t="s">
        <v>37</v>
      </c>
      <c r="B63" s="39" t="s">
        <v>38</v>
      </c>
      <c r="C63" s="37"/>
      <c r="D63" s="37">
        <v>0</v>
      </c>
      <c r="E63" s="38" t="e">
        <f t="shared" si="3"/>
        <v>#DIV/0!</v>
      </c>
      <c r="F63" s="38">
        <f t="shared" si="4"/>
        <v>0</v>
      </c>
    </row>
    <row r="64" spans="1:8" ht="16.5" customHeight="1" x14ac:dyDescent="0.25">
      <c r="A64" s="35" t="s">
        <v>39</v>
      </c>
      <c r="B64" s="39" t="s">
        <v>40</v>
      </c>
      <c r="C64" s="40">
        <v>5</v>
      </c>
      <c r="D64" s="40">
        <v>0</v>
      </c>
      <c r="E64" s="38">
        <f t="shared" si="3"/>
        <v>0</v>
      </c>
      <c r="F64" s="38">
        <f t="shared" si="4"/>
        <v>-5</v>
      </c>
    </row>
    <row r="65" spans="1:7" ht="18" customHeight="1" x14ac:dyDescent="0.25">
      <c r="A65" s="35" t="s">
        <v>41</v>
      </c>
      <c r="B65" s="39" t="s">
        <v>42</v>
      </c>
      <c r="C65" s="37">
        <v>6.8769999999999998</v>
      </c>
      <c r="D65" s="37">
        <v>5.1639999999999997</v>
      </c>
      <c r="E65" s="38">
        <f t="shared" si="3"/>
        <v>75.090882652319323</v>
      </c>
      <c r="F65" s="38">
        <f t="shared" si="4"/>
        <v>-1.7130000000000001</v>
      </c>
    </row>
    <row r="66" spans="1:7" s="6" customFormat="1" ht="15" customHeight="1" x14ac:dyDescent="0.25">
      <c r="A66" s="41" t="s">
        <v>43</v>
      </c>
      <c r="B66" s="42" t="s">
        <v>44</v>
      </c>
      <c r="C66" s="32">
        <f>C67</f>
        <v>287.20096999999998</v>
      </c>
      <c r="D66" s="32">
        <f>D67</f>
        <v>287.20096999999998</v>
      </c>
      <c r="E66" s="34">
        <f t="shared" si="3"/>
        <v>100</v>
      </c>
      <c r="F66" s="34">
        <f t="shared" si="4"/>
        <v>0</v>
      </c>
    </row>
    <row r="67" spans="1:7" x14ac:dyDescent="0.25">
      <c r="A67" s="43" t="s">
        <v>45</v>
      </c>
      <c r="B67" s="44" t="s">
        <v>46</v>
      </c>
      <c r="C67" s="37">
        <v>287.20096999999998</v>
      </c>
      <c r="D67" s="37">
        <v>287.20096999999998</v>
      </c>
      <c r="E67" s="38">
        <f t="shared" si="3"/>
        <v>100</v>
      </c>
      <c r="F67" s="38">
        <f t="shared" si="4"/>
        <v>0</v>
      </c>
    </row>
    <row r="68" spans="1:7" s="6" customFormat="1" ht="16.5" customHeight="1" x14ac:dyDescent="0.25">
      <c r="A68" s="30" t="s">
        <v>47</v>
      </c>
      <c r="B68" s="31" t="s">
        <v>48</v>
      </c>
      <c r="C68" s="32">
        <f>C71+C72+C73</f>
        <v>329.38</v>
      </c>
      <c r="D68" s="32">
        <f>SUM(D71+D72+D73)</f>
        <v>329.18939</v>
      </c>
      <c r="E68" s="34">
        <f t="shared" si="3"/>
        <v>99.94213066974315</v>
      </c>
      <c r="F68" s="34">
        <f t="shared" si="4"/>
        <v>-0.1906099999999924</v>
      </c>
    </row>
    <row r="69" spans="1:7" hidden="1" x14ac:dyDescent="0.25">
      <c r="A69" s="35" t="s">
        <v>49</v>
      </c>
      <c r="B69" s="39" t="s">
        <v>50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idden="1" x14ac:dyDescent="0.25">
      <c r="A70" s="45" t="s">
        <v>51</v>
      </c>
      <c r="B70" s="39" t="s">
        <v>52</v>
      </c>
      <c r="C70" s="37"/>
      <c r="D70" s="37"/>
      <c r="E70" s="34" t="e">
        <f t="shared" si="3"/>
        <v>#DIV/0!</v>
      </c>
      <c r="F70" s="34">
        <f t="shared" si="4"/>
        <v>0</v>
      </c>
    </row>
    <row r="71" spans="1:7" ht="15.75" customHeight="1" x14ac:dyDescent="0.25">
      <c r="A71" s="46" t="s">
        <v>53</v>
      </c>
      <c r="B71" s="47" t="s">
        <v>54</v>
      </c>
      <c r="C71" s="95">
        <v>3</v>
      </c>
      <c r="D71" s="37">
        <v>2.83134</v>
      </c>
      <c r="E71" s="34">
        <f t="shared" si="3"/>
        <v>94.378</v>
      </c>
      <c r="F71" s="34">
        <f t="shared" si="4"/>
        <v>-0.16866000000000003</v>
      </c>
    </row>
    <row r="72" spans="1:7" ht="15.75" customHeight="1" x14ac:dyDescent="0.25">
      <c r="A72" s="46" t="s">
        <v>210</v>
      </c>
      <c r="B72" s="47" t="s">
        <v>211</v>
      </c>
      <c r="C72" s="37">
        <v>324.38</v>
      </c>
      <c r="D72" s="37">
        <v>324.35804999999999</v>
      </c>
      <c r="E72" s="34">
        <f t="shared" si="3"/>
        <v>99.993233244959612</v>
      </c>
      <c r="F72" s="34">
        <f t="shared" si="4"/>
        <v>-2.1950000000003911E-2</v>
      </c>
    </row>
    <row r="73" spans="1:7" ht="15.75" customHeight="1" x14ac:dyDescent="0.25">
      <c r="A73" s="46" t="s">
        <v>330</v>
      </c>
      <c r="B73" s="47" t="s">
        <v>333</v>
      </c>
      <c r="C73" s="37">
        <v>2</v>
      </c>
      <c r="D73" s="37">
        <v>2</v>
      </c>
      <c r="E73" s="34"/>
      <c r="F73" s="34"/>
    </row>
    <row r="74" spans="1:7" s="6" customFormat="1" ht="14.25" customHeight="1" x14ac:dyDescent="0.25">
      <c r="A74" s="30" t="s">
        <v>55</v>
      </c>
      <c r="B74" s="31" t="s">
        <v>56</v>
      </c>
      <c r="C74" s="48">
        <f>SUM(C75:C78)</f>
        <v>3091.5144400000004</v>
      </c>
      <c r="D74" s="48">
        <f>SUM(D75:D78)</f>
        <v>3030.0402100000001</v>
      </c>
      <c r="E74" s="34">
        <f t="shared" si="3"/>
        <v>98.011517293770098</v>
      </c>
      <c r="F74" s="34">
        <f t="shared" si="4"/>
        <v>-61.474230000000261</v>
      </c>
    </row>
    <row r="75" spans="1:7" ht="15" customHeight="1" x14ac:dyDescent="0.25">
      <c r="A75" s="35" t="s">
        <v>57</v>
      </c>
      <c r="B75" s="39" t="s">
        <v>58</v>
      </c>
      <c r="C75" s="49">
        <v>14.2926</v>
      </c>
      <c r="D75" s="37">
        <v>14.2926</v>
      </c>
      <c r="E75" s="38">
        <f t="shared" si="3"/>
        <v>100</v>
      </c>
      <c r="F75" s="38">
        <f t="shared" si="4"/>
        <v>0</v>
      </c>
    </row>
    <row r="76" spans="1:7" s="6" customFormat="1" ht="15" customHeight="1" x14ac:dyDescent="0.25">
      <c r="A76" s="35" t="s">
        <v>59</v>
      </c>
      <c r="B76" s="39" t="s">
        <v>60</v>
      </c>
      <c r="C76" s="49"/>
      <c r="D76" s="37">
        <v>0</v>
      </c>
      <c r="E76" s="38" t="e">
        <f t="shared" si="3"/>
        <v>#DIV/0!</v>
      </c>
      <c r="F76" s="38">
        <f t="shared" si="4"/>
        <v>0</v>
      </c>
      <c r="G76" s="50"/>
    </row>
    <row r="77" spans="1:7" x14ac:dyDescent="0.25">
      <c r="A77" s="35" t="s">
        <v>61</v>
      </c>
      <c r="B77" s="39" t="s">
        <v>62</v>
      </c>
      <c r="C77" s="49">
        <v>3061.2218400000002</v>
      </c>
      <c r="D77" s="37">
        <v>2999.7476099999999</v>
      </c>
      <c r="E77" s="38">
        <f t="shared" si="3"/>
        <v>97.991840081736768</v>
      </c>
      <c r="F77" s="38">
        <f t="shared" si="4"/>
        <v>-61.474230000000261</v>
      </c>
    </row>
    <row r="78" spans="1:7" x14ac:dyDescent="0.25">
      <c r="A78" s="35" t="s">
        <v>63</v>
      </c>
      <c r="B78" s="39" t="s">
        <v>64</v>
      </c>
      <c r="C78" s="49">
        <v>16</v>
      </c>
      <c r="D78" s="37">
        <v>16</v>
      </c>
      <c r="E78" s="38">
        <f t="shared" si="3"/>
        <v>100</v>
      </c>
      <c r="F78" s="38">
        <f t="shared" si="4"/>
        <v>0</v>
      </c>
    </row>
    <row r="79" spans="1:7" s="6" customFormat="1" ht="14.25" customHeight="1" x14ac:dyDescent="0.25">
      <c r="A79" s="30" t="s">
        <v>65</v>
      </c>
      <c r="B79" s="31" t="s">
        <v>66</v>
      </c>
      <c r="C79" s="32">
        <f>SUM(C80:C82)</f>
        <v>7367.5261</v>
      </c>
      <c r="D79" s="32">
        <f>SUM(D80:D82)</f>
        <v>7209.9037900000003</v>
      </c>
      <c r="E79" s="34">
        <f t="shared" si="3"/>
        <v>97.86058022923055</v>
      </c>
      <c r="F79" s="34">
        <f t="shared" si="4"/>
        <v>-157.62230999999974</v>
      </c>
    </row>
    <row r="80" spans="1:7" ht="14.25" customHeight="1" x14ac:dyDescent="0.25">
      <c r="A80" s="35" t="s">
        <v>67</v>
      </c>
      <c r="B80" s="51" t="s">
        <v>68</v>
      </c>
      <c r="C80" s="37">
        <v>0</v>
      </c>
      <c r="D80" s="37"/>
      <c r="E80" s="38" t="e">
        <f t="shared" si="3"/>
        <v>#DIV/0!</v>
      </c>
      <c r="F80" s="38">
        <f t="shared" si="4"/>
        <v>0</v>
      </c>
    </row>
    <row r="81" spans="1:6" ht="24.75" customHeight="1" x14ac:dyDescent="0.25">
      <c r="A81" s="35" t="s">
        <v>69</v>
      </c>
      <c r="B81" s="51" t="s">
        <v>70</v>
      </c>
      <c r="C81" s="37">
        <v>1424.021</v>
      </c>
      <c r="D81" s="37">
        <v>1346.3013800000001</v>
      </c>
      <c r="E81" s="38">
        <f t="shared" si="3"/>
        <v>94.542242003453609</v>
      </c>
      <c r="F81" s="38">
        <f t="shared" si="4"/>
        <v>-77.71961999999985</v>
      </c>
    </row>
    <row r="82" spans="1:6" x14ac:dyDescent="0.25">
      <c r="A82" s="35" t="s">
        <v>71</v>
      </c>
      <c r="B82" s="39" t="s">
        <v>72</v>
      </c>
      <c r="C82" s="37">
        <v>5943.5051000000003</v>
      </c>
      <c r="D82" s="37">
        <v>5863.6024100000004</v>
      </c>
      <c r="E82" s="38">
        <f t="shared" si="3"/>
        <v>98.655630160054884</v>
      </c>
      <c r="F82" s="38">
        <f t="shared" si="4"/>
        <v>-79.902689999999893</v>
      </c>
    </row>
    <row r="83" spans="1:6" s="6" customFormat="1" x14ac:dyDescent="0.25">
      <c r="A83" s="30" t="s">
        <v>81</v>
      </c>
      <c r="B83" s="31" t="s">
        <v>82</v>
      </c>
      <c r="C83" s="32">
        <f>C84</f>
        <v>1842.7</v>
      </c>
      <c r="D83" s="32">
        <f>SUM(D84)</f>
        <v>1842.3718899999999</v>
      </c>
      <c r="E83" s="34">
        <f t="shared" si="3"/>
        <v>99.982194063059637</v>
      </c>
      <c r="F83" s="34">
        <f t="shared" si="4"/>
        <v>-0.32811000000015156</v>
      </c>
    </row>
    <row r="84" spans="1:6" ht="15" customHeight="1" x14ac:dyDescent="0.25">
      <c r="A84" s="35" t="s">
        <v>83</v>
      </c>
      <c r="B84" s="39" t="s">
        <v>225</v>
      </c>
      <c r="C84" s="37">
        <v>1842.7</v>
      </c>
      <c r="D84" s="37">
        <v>1842.3718899999999</v>
      </c>
      <c r="E84" s="38">
        <f t="shared" si="3"/>
        <v>99.982194063059637</v>
      </c>
      <c r="F84" s="38">
        <f t="shared" si="4"/>
        <v>-0.32811000000015156</v>
      </c>
    </row>
    <row r="85" spans="1:6" s="6" customFormat="1" ht="15.75" hidden="1" customHeight="1" x14ac:dyDescent="0.25">
      <c r="A85" s="52">
        <v>1000</v>
      </c>
      <c r="B85" s="31" t="s">
        <v>84</v>
      </c>
      <c r="C85" s="32">
        <f>SUM(C86:C89)</f>
        <v>0</v>
      </c>
      <c r="D85" s="3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15.75" hidden="1" customHeight="1" x14ac:dyDescent="0.25">
      <c r="A86" s="53">
        <v>1001</v>
      </c>
      <c r="B86" s="54" t="s">
        <v>85</v>
      </c>
      <c r="C86" s="37"/>
      <c r="D86" s="37"/>
      <c r="E86" s="38" t="e">
        <f t="shared" si="3"/>
        <v>#DIV/0!</v>
      </c>
      <c r="F86" s="38">
        <f t="shared" si="4"/>
        <v>0</v>
      </c>
    </row>
    <row r="87" spans="1:6" ht="15.75" hidden="1" customHeight="1" x14ac:dyDescent="0.25">
      <c r="A87" s="53">
        <v>1003</v>
      </c>
      <c r="B87" s="54" t="s">
        <v>86</v>
      </c>
      <c r="C87" s="95">
        <v>0</v>
      </c>
      <c r="D87" s="37">
        <v>0</v>
      </c>
      <c r="E87" s="38" t="e">
        <f t="shared" si="3"/>
        <v>#DIV/0!</v>
      </c>
      <c r="F87" s="38">
        <f t="shared" si="4"/>
        <v>0</v>
      </c>
    </row>
    <row r="88" spans="1:6" ht="15.75" hidden="1" customHeight="1" x14ac:dyDescent="0.25">
      <c r="A88" s="53">
        <v>1004</v>
      </c>
      <c r="B88" s="54" t="s">
        <v>87</v>
      </c>
      <c r="C88" s="37"/>
      <c r="D88" s="55"/>
      <c r="E88" s="38" t="e">
        <f t="shared" si="3"/>
        <v>#DIV/0!</v>
      </c>
      <c r="F88" s="38">
        <f t="shared" si="4"/>
        <v>0</v>
      </c>
    </row>
    <row r="89" spans="1:6" ht="15.75" hidden="1" customHeight="1" x14ac:dyDescent="0.25">
      <c r="A89" s="35" t="s">
        <v>88</v>
      </c>
      <c r="B89" s="39" t="s">
        <v>89</v>
      </c>
      <c r="C89" s="37">
        <v>0</v>
      </c>
      <c r="D89" s="37">
        <v>0</v>
      </c>
      <c r="E89" s="38"/>
      <c r="F89" s="38">
        <f t="shared" si="4"/>
        <v>0</v>
      </c>
    </row>
    <row r="90" spans="1:6" ht="15.75" customHeight="1" x14ac:dyDescent="0.25">
      <c r="A90" s="30" t="s">
        <v>90</v>
      </c>
      <c r="B90" s="31" t="s">
        <v>91</v>
      </c>
      <c r="C90" s="32">
        <f>C91</f>
        <v>10</v>
      </c>
      <c r="D90" s="32">
        <f>D91+D92+D93+D94+D95</f>
        <v>9.99</v>
      </c>
      <c r="E90" s="38"/>
      <c r="F90" s="22">
        <f>F91+F92+F93+F94+F95</f>
        <v>-9.9999999999997868E-3</v>
      </c>
    </row>
    <row r="91" spans="1:6" ht="16.5" customHeight="1" x14ac:dyDescent="0.25">
      <c r="A91" s="35" t="s">
        <v>92</v>
      </c>
      <c r="B91" s="39" t="s">
        <v>93</v>
      </c>
      <c r="C91" s="37">
        <v>10</v>
      </c>
      <c r="D91" s="37">
        <v>9.99</v>
      </c>
      <c r="E91" s="38"/>
      <c r="F91" s="38">
        <f>SUM(D91-C91)</f>
        <v>-9.9999999999997868E-3</v>
      </c>
    </row>
    <row r="92" spans="1:6" ht="1.5" hidden="1" customHeight="1" x14ac:dyDescent="0.25">
      <c r="A92" s="35" t="s">
        <v>94</v>
      </c>
      <c r="B92" s="39" t="s">
        <v>95</v>
      </c>
      <c r="C92" s="37"/>
      <c r="D92" s="37"/>
      <c r="E92" s="38" t="e">
        <f t="shared" si="3"/>
        <v>#DIV/0!</v>
      </c>
      <c r="F92" s="38">
        <f>SUM(D92-C92)</f>
        <v>0</v>
      </c>
    </row>
    <row r="93" spans="1:6" ht="21.75" hidden="1" customHeight="1" x14ac:dyDescent="0.25">
      <c r="A93" s="35" t="s">
        <v>96</v>
      </c>
      <c r="B93" s="39" t="s">
        <v>97</v>
      </c>
      <c r="C93" s="37"/>
      <c r="D93" s="37"/>
      <c r="E93" s="38" t="e">
        <f t="shared" si="3"/>
        <v>#DIV/0!</v>
      </c>
      <c r="F93" s="38"/>
    </row>
    <row r="94" spans="1:6" ht="15" hidden="1" customHeight="1" x14ac:dyDescent="0.25">
      <c r="A94" s="35" t="s">
        <v>98</v>
      </c>
      <c r="B94" s="39" t="s">
        <v>99</v>
      </c>
      <c r="C94" s="37"/>
      <c r="D94" s="37"/>
      <c r="E94" s="38" t="e">
        <f t="shared" si="3"/>
        <v>#DIV/0!</v>
      </c>
      <c r="F94" s="38"/>
    </row>
    <row r="95" spans="1:6" ht="14.25" hidden="1" customHeight="1" x14ac:dyDescent="0.25">
      <c r="A95" s="35" t="s">
        <v>100</v>
      </c>
      <c r="B95" s="39" t="s">
        <v>101</v>
      </c>
      <c r="C95" s="37"/>
      <c r="D95" s="37"/>
      <c r="E95" s="38" t="e">
        <f t="shared" si="3"/>
        <v>#DIV/0!</v>
      </c>
      <c r="F95" s="38"/>
    </row>
    <row r="96" spans="1:6" s="6" customFormat="1" ht="19.5" hidden="1" customHeight="1" x14ac:dyDescent="0.25">
      <c r="A96" s="52">
        <v>1400</v>
      </c>
      <c r="B96" s="56" t="s">
        <v>109</v>
      </c>
      <c r="C96" s="48">
        <f>C97+C98+C99</f>
        <v>0</v>
      </c>
      <c r="D96" s="172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5" hidden="1" customHeight="1" x14ac:dyDescent="0.25">
      <c r="A97" s="53">
        <v>1401</v>
      </c>
      <c r="B97" s="54" t="s">
        <v>110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16.5" hidden="1" customHeight="1" x14ac:dyDescent="0.25">
      <c r="A98" s="53">
        <v>1402</v>
      </c>
      <c r="B98" s="54" t="s">
        <v>111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20.25" hidden="1" customHeight="1" x14ac:dyDescent="0.25">
      <c r="A99" s="53">
        <v>1403</v>
      </c>
      <c r="B99" s="54" t="s">
        <v>112</v>
      </c>
      <c r="C99" s="49"/>
      <c r="D99" s="37"/>
      <c r="E99" s="38" t="e">
        <f t="shared" si="3"/>
        <v>#DIV/0!</v>
      </c>
      <c r="F99" s="38">
        <f t="shared" si="4"/>
        <v>0</v>
      </c>
    </row>
    <row r="100" spans="1:6" s="6" customFormat="1" ht="21" customHeight="1" x14ac:dyDescent="0.25">
      <c r="A100" s="52"/>
      <c r="B100" s="57" t="s">
        <v>113</v>
      </c>
      <c r="C100" s="243">
        <f>C58+C66+C68+C74+C79+C83+C90+C85</f>
        <v>14622.710510000001</v>
      </c>
      <c r="D100" s="243">
        <f>D58+D66+D68+D74+D79+D83+D90+D85</f>
        <v>14260.155130000001</v>
      </c>
      <c r="E100" s="34">
        <f t="shared" si="3"/>
        <v>97.520600713854932</v>
      </c>
      <c r="F100" s="34">
        <f t="shared" si="4"/>
        <v>-362.55537999999979</v>
      </c>
    </row>
    <row r="101" spans="1:6" x14ac:dyDescent="0.25">
      <c r="D101" s="175"/>
    </row>
    <row r="102" spans="1:6" s="65" customFormat="1" ht="18" customHeight="1" x14ac:dyDescent="0.2">
      <c r="A102" s="63" t="s">
        <v>114</v>
      </c>
      <c r="B102" s="63"/>
      <c r="C102" s="129"/>
      <c r="D102" s="64"/>
      <c r="E102" s="64"/>
    </row>
    <row r="103" spans="1:6" s="65" customFormat="1" ht="12.75" x14ac:dyDescent="0.2">
      <c r="A103" s="66" t="s">
        <v>115</v>
      </c>
      <c r="B103" s="66"/>
      <c r="C103" s="65" t="s">
        <v>116</v>
      </c>
    </row>
    <row r="104" spans="1:6" x14ac:dyDescent="0.25">
      <c r="C104" s="118"/>
    </row>
    <row r="143" hidden="1" x14ac:dyDescent="0.25"/>
  </sheetData>
  <customSheetViews>
    <customSheetView guid="{4D5E6ACC-9055-4DE9-8C20-9052F3C35D19}" scale="70" showPageBreaks="1" hiddenRows="1" state="hidden" view="pageBreakPreview" topLeftCell="A34">
      <selection activeCell="C100" sqref="C100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5C539BE6-C8E0-453F-AB5E-9E58094195EA}" scale="70" showPageBreaks="1" hiddenRows="1" view="pageBreakPreview">
      <selection activeCell="D31" sqref="D31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hiddenRows="1" topLeftCell="A35">
      <selection activeCell="D89" sqref="D89"/>
      <pageMargins left="0.7" right="0.7" top="0.75" bottom="0.75" header="0.3" footer="0.3"/>
      <pageSetup paperSize="9" scale="52" orientation="portrait" r:id="rId5"/>
    </customSheetView>
    <customSheetView guid="{B31C8DB7-3E78-4144-A6B5-8DE36DE63F0E}" hiddenRows="1" topLeftCell="A53">
      <selection activeCell="D82" sqref="D82"/>
      <pageMargins left="0.7" right="0.7" top="0.75" bottom="0.75" header="0.3" footer="0.3"/>
      <pageSetup paperSize="9" scale="52" orientation="portrait" r:id="rId6"/>
    </customSheetView>
    <customSheetView guid="{5BFCA170-DEAE-4D2C-98A0-1E68B427AC01}" showPageBreaks="1" topLeftCell="A32">
      <selection activeCell="J56" sqref="J56"/>
      <pageMargins left="0.7" right="0.7" top="0.75" bottom="0.75" header="0.3" footer="0.3"/>
      <pageSetup paperSize="9" scale="52" orientation="portrait" r:id="rId7"/>
    </customSheetView>
    <customSheetView guid="{B30CE22D-C12F-4E12-8BB9-3AAE0A6991CC}" scale="70" showPageBreaks="1" printArea="1" hiddenRows="1" view="pageBreakPreview" topLeftCell="A54">
      <selection activeCell="A34" sqref="A34:XFD34"/>
      <pageMargins left="0.70866141732283472" right="0.70866141732283472" top="0.74803149606299213" bottom="0.74803149606299213" header="0.31496062992125984" footer="0.31496062992125984"/>
      <pageSetup paperSize="9" scale="56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1" orientation="portrait" r:id="rId9"/>
    </customSheetView>
    <customSheetView guid="{3DCB9AAA-F09C-4EA6-B992-F93E466D374A}" topLeftCell="A38">
      <selection activeCell="J56" sqref="J56"/>
      <pageMargins left="0.7" right="0.7" top="0.75" bottom="0.75" header="0.3" footer="0.3"/>
      <pageSetup paperSize="9" scale="52" orientation="portrait" r:id="rId10"/>
    </customSheetView>
    <customSheetView guid="{F85EE840-0C31-454A-8951-832C2E9E0600}" scale="70" showPageBreaks="1" hiddenRows="1" state="hidden" view="pageBreakPreview" topLeftCell="A34">
      <selection activeCell="C69" sqref="C69"/>
      <pageMargins left="0.70866141732283472" right="0.70866141732283472" top="0.74803149606299213" bottom="0.74803149606299213" header="0.31496062992125984" footer="0.31496062992125984"/>
      <pageSetup paperSize="9" scale="56" orientation="portrait" r:id="rId11"/>
    </customSheetView>
    <customSheetView guid="{F1E84C44-1ACD-474A-BDE0-C7088DB6C590}" scale="70" showPageBreaks="1" hiddenRows="1" state="hidden" view="pageBreakPreview" topLeftCell="A34">
      <selection activeCell="C100" sqref="C100"/>
      <pageMargins left="0.70866141732283472" right="0.70866141732283472" top="0.74803149606299213" bottom="0.74803149606299213" header="0.31496062992125984" footer="0.31496062992125984"/>
      <pageSetup paperSize="9" scale="54" orientation="portrait" r:id="rId12"/>
    </customSheetView>
    <customSheetView guid="{61528DAC-5C4C-48F4-ADE2-8A724B05A086}" scale="70" showPageBreaks="1" hiddenRows="1" state="hidden" view="pageBreakPreview" topLeftCell="A34">
      <selection activeCell="C100" sqref="C100"/>
      <pageMargins left="0.70866141732283472" right="0.70866141732283472" top="0.74803149606299213" bottom="0.74803149606299213" header="0.31496062992125984" footer="0.31496062992125984"/>
      <pageSetup paperSize="9" scale="54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H143"/>
  <sheetViews>
    <sheetView view="pageBreakPreview" topLeftCell="A33" zoomScale="70" zoomScaleNormal="100" zoomScaleSheetLayoutView="70" workbookViewId="0">
      <selection activeCell="D64" sqref="D64"/>
    </sheetView>
  </sheetViews>
  <sheetFormatPr defaultRowHeight="15.75" x14ac:dyDescent="0.25"/>
  <cols>
    <col min="1" max="1" width="14.7109375" style="58" customWidth="1"/>
    <col min="2" max="2" width="58.85546875" style="59" customWidth="1"/>
    <col min="3" max="3" width="19.42578125" style="62" customWidth="1"/>
    <col min="4" max="4" width="16.42578125" style="62" customWidth="1"/>
    <col min="5" max="5" width="12.5703125" style="62" customWidth="1"/>
    <col min="6" max="6" width="12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 x14ac:dyDescent="0.25">
      <c r="A1" s="599" t="s">
        <v>411</v>
      </c>
      <c r="B1" s="599"/>
      <c r="C1" s="599"/>
      <c r="D1" s="599"/>
      <c r="E1" s="599"/>
      <c r="F1" s="599"/>
    </row>
    <row r="2" spans="1:6" x14ac:dyDescent="0.25">
      <c r="A2" s="599"/>
      <c r="B2" s="599"/>
      <c r="C2" s="599"/>
      <c r="D2" s="599"/>
      <c r="E2" s="599"/>
      <c r="F2" s="599"/>
    </row>
    <row r="3" spans="1:6" ht="54.75" customHeight="1" x14ac:dyDescent="0.25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 x14ac:dyDescent="0.25">
      <c r="A4" s="3"/>
      <c r="B4" s="4" t="s">
        <v>4</v>
      </c>
      <c r="C4" s="5">
        <f>C5+C12+C14+C17+C7</f>
        <v>2738.4</v>
      </c>
      <c r="D4" s="5">
        <f>D5+D12+D14+D17+D7</f>
        <v>2786.3653899999999</v>
      </c>
      <c r="E4" s="5">
        <f>SUM(D4/C4*100)</f>
        <v>101.75158450189892</v>
      </c>
      <c r="F4" s="5">
        <f>SUM(D4-C4)</f>
        <v>47.965389999999843</v>
      </c>
    </row>
    <row r="5" spans="1:6" s="6" customFormat="1" x14ac:dyDescent="0.25">
      <c r="A5" s="68">
        <v>1010000000</v>
      </c>
      <c r="B5" s="67" t="s">
        <v>5</v>
      </c>
      <c r="C5" s="5">
        <f>C6</f>
        <v>321.39999999999998</v>
      </c>
      <c r="D5" s="5">
        <f>D6</f>
        <v>265.78492</v>
      </c>
      <c r="E5" s="5">
        <f t="shared" ref="E5:E52" si="0">SUM(D5/C5*100)</f>
        <v>82.695992532669578</v>
      </c>
      <c r="F5" s="5">
        <f t="shared" ref="F5:F52" si="1">SUM(D5-C5)</f>
        <v>-55.615079999999978</v>
      </c>
    </row>
    <row r="6" spans="1:6" x14ac:dyDescent="0.25">
      <c r="A6" s="7">
        <v>1010200001</v>
      </c>
      <c r="B6" s="8" t="s">
        <v>220</v>
      </c>
      <c r="C6" s="9">
        <v>321.39999999999998</v>
      </c>
      <c r="D6" s="10">
        <v>265.78492</v>
      </c>
      <c r="E6" s="9">
        <f t="shared" ref="E6:E11" si="2">SUM(D6/C6*100)</f>
        <v>82.695992532669578</v>
      </c>
      <c r="F6" s="9">
        <f t="shared" si="1"/>
        <v>-55.615079999999978</v>
      </c>
    </row>
    <row r="7" spans="1:6" ht="31.5" x14ac:dyDescent="0.25">
      <c r="A7" s="3">
        <v>1030000000</v>
      </c>
      <c r="B7" s="13" t="s">
        <v>259</v>
      </c>
      <c r="C7" s="5">
        <f>C8+C10+C9</f>
        <v>954</v>
      </c>
      <c r="D7" s="5">
        <f>D8+D10+D9+D11</f>
        <v>1127.8717499999998</v>
      </c>
      <c r="E7" s="5">
        <f t="shared" si="2"/>
        <v>118.22555031446538</v>
      </c>
      <c r="F7" s="5">
        <f t="shared" si="1"/>
        <v>173.87174999999979</v>
      </c>
    </row>
    <row r="8" spans="1:6" x14ac:dyDescent="0.25">
      <c r="A8" s="7">
        <v>1030223001</v>
      </c>
      <c r="B8" s="8" t="s">
        <v>261</v>
      </c>
      <c r="C8" s="9">
        <v>355.84199999999998</v>
      </c>
      <c r="D8" s="10">
        <v>565.41002000000003</v>
      </c>
      <c r="E8" s="9">
        <f t="shared" si="2"/>
        <v>158.8935595011269</v>
      </c>
      <c r="F8" s="9">
        <f t="shared" si="1"/>
        <v>209.56802000000005</v>
      </c>
    </row>
    <row r="9" spans="1:6" x14ac:dyDescent="0.25">
      <c r="A9" s="7">
        <v>1030224001</v>
      </c>
      <c r="B9" s="8" t="s">
        <v>267</v>
      </c>
      <c r="C9" s="9">
        <v>3.8159999999999998</v>
      </c>
      <c r="D9" s="10">
        <v>3.0541200000000002</v>
      </c>
      <c r="E9" s="9">
        <f t="shared" si="2"/>
        <v>80.034591194968556</v>
      </c>
      <c r="F9" s="9">
        <f t="shared" si="1"/>
        <v>-0.76187999999999967</v>
      </c>
    </row>
    <row r="10" spans="1:6" x14ac:dyDescent="0.25">
      <c r="A10" s="7">
        <v>1030225001</v>
      </c>
      <c r="B10" s="8" t="s">
        <v>260</v>
      </c>
      <c r="C10" s="9">
        <v>594.34199999999998</v>
      </c>
      <c r="D10" s="10">
        <v>624.27652999999998</v>
      </c>
      <c r="E10" s="9">
        <f t="shared" si="2"/>
        <v>105.0365833139842</v>
      </c>
      <c r="F10" s="9">
        <f>SUM(D10-C10)</f>
        <v>29.934529999999995</v>
      </c>
    </row>
    <row r="11" spans="1:6" x14ac:dyDescent="0.25">
      <c r="A11" s="7">
        <v>1030226001</v>
      </c>
      <c r="B11" s="8" t="s">
        <v>269</v>
      </c>
      <c r="C11" s="9">
        <v>0</v>
      </c>
      <c r="D11" s="10">
        <v>-64.868920000000003</v>
      </c>
      <c r="E11" s="9" t="e">
        <f t="shared" si="2"/>
        <v>#DIV/0!</v>
      </c>
      <c r="F11" s="9">
        <f>SUM(D11-C11)</f>
        <v>-64.868920000000003</v>
      </c>
    </row>
    <row r="12" spans="1:6" s="6" customFormat="1" x14ac:dyDescent="0.25">
      <c r="A12" s="68">
        <v>1050000000</v>
      </c>
      <c r="B12" s="67" t="s">
        <v>6</v>
      </c>
      <c r="C12" s="5">
        <f>SUM(C13:C13)</f>
        <v>20</v>
      </c>
      <c r="D12" s="5">
        <f>SUM(D13:D13)</f>
        <v>10.15326</v>
      </c>
      <c r="E12" s="5">
        <f t="shared" si="0"/>
        <v>50.766300000000001</v>
      </c>
      <c r="F12" s="5">
        <f t="shared" si="1"/>
        <v>-9.8467400000000005</v>
      </c>
    </row>
    <row r="13" spans="1:6" ht="15.75" customHeight="1" x14ac:dyDescent="0.25">
      <c r="A13" s="7">
        <v>1050300000</v>
      </c>
      <c r="B13" s="11" t="s">
        <v>221</v>
      </c>
      <c r="C13" s="12">
        <v>20</v>
      </c>
      <c r="D13" s="10">
        <v>10.15326</v>
      </c>
      <c r="E13" s="9">
        <f t="shared" si="0"/>
        <v>50.766300000000001</v>
      </c>
      <c r="F13" s="9">
        <f t="shared" si="1"/>
        <v>-9.8467400000000005</v>
      </c>
    </row>
    <row r="14" spans="1:6" s="6" customFormat="1" ht="15.75" customHeight="1" x14ac:dyDescent="0.25">
      <c r="A14" s="68">
        <v>1060000000</v>
      </c>
      <c r="B14" s="67" t="s">
        <v>129</v>
      </c>
      <c r="C14" s="5">
        <f>C15+C16</f>
        <v>1435</v>
      </c>
      <c r="D14" s="5">
        <f>D15+D16</f>
        <v>1379.57546</v>
      </c>
      <c r="E14" s="5">
        <f t="shared" si="0"/>
        <v>96.137662717770027</v>
      </c>
      <c r="F14" s="5">
        <f t="shared" si="1"/>
        <v>-55.424539999999979</v>
      </c>
    </row>
    <row r="15" spans="1:6" s="6" customFormat="1" ht="15.75" customHeight="1" x14ac:dyDescent="0.25">
      <c r="A15" s="7">
        <v>1060100000</v>
      </c>
      <c r="B15" s="11" t="s">
        <v>8</v>
      </c>
      <c r="C15" s="9">
        <v>385</v>
      </c>
      <c r="D15" s="10">
        <v>315.43126999999998</v>
      </c>
      <c r="E15" s="9">
        <f t="shared" si="0"/>
        <v>81.930199999999999</v>
      </c>
      <c r="F15" s="9">
        <f>SUM(D15-C15)</f>
        <v>-69.568730000000016</v>
      </c>
    </row>
    <row r="16" spans="1:6" ht="15.75" customHeight="1" x14ac:dyDescent="0.25">
      <c r="A16" s="7">
        <v>1060600000</v>
      </c>
      <c r="B16" s="11" t="s">
        <v>7</v>
      </c>
      <c r="C16" s="9">
        <v>1050</v>
      </c>
      <c r="D16" s="10">
        <v>1064.14419</v>
      </c>
      <c r="E16" s="9">
        <f t="shared" si="0"/>
        <v>101.3470657142857</v>
      </c>
      <c r="F16" s="9">
        <f t="shared" si="1"/>
        <v>14.144189999999981</v>
      </c>
    </row>
    <row r="17" spans="1:6" s="6" customFormat="1" x14ac:dyDescent="0.25">
      <c r="A17" s="3">
        <v>1080000000</v>
      </c>
      <c r="B17" s="4" t="s">
        <v>10</v>
      </c>
      <c r="C17" s="5">
        <f>C18</f>
        <v>8</v>
      </c>
      <c r="D17" s="5">
        <f>D18</f>
        <v>2.98</v>
      </c>
      <c r="E17" s="5">
        <f t="shared" si="0"/>
        <v>37.25</v>
      </c>
      <c r="F17" s="5">
        <f t="shared" si="1"/>
        <v>-5.0199999999999996</v>
      </c>
    </row>
    <row r="18" spans="1:6" ht="18" customHeight="1" x14ac:dyDescent="0.25">
      <c r="A18" s="7">
        <v>1080400001</v>
      </c>
      <c r="B18" s="8" t="s">
        <v>219</v>
      </c>
      <c r="C18" s="9">
        <v>8</v>
      </c>
      <c r="D18" s="10">
        <v>2.98</v>
      </c>
      <c r="E18" s="9">
        <f t="shared" si="0"/>
        <v>37.25</v>
      </c>
      <c r="F18" s="9">
        <f t="shared" si="1"/>
        <v>-5.0199999999999996</v>
      </c>
    </row>
    <row r="19" spans="1:6" ht="47.25" hidden="1" customHeight="1" x14ac:dyDescent="0.25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 x14ac:dyDescent="0.25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 x14ac:dyDescent="0.25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 x14ac:dyDescent="0.25">
      <c r="A22" s="7">
        <v>1090400000</v>
      </c>
      <c r="B22" s="8" t="s">
        <v>224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 x14ac:dyDescent="0.25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 x14ac:dyDescent="0.25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 x14ac:dyDescent="0.25">
      <c r="A25" s="3"/>
      <c r="B25" s="4" t="s">
        <v>12</v>
      </c>
      <c r="C25" s="5">
        <f>C26+C30+C32+C37+C35</f>
        <v>525.95636000000002</v>
      </c>
      <c r="D25" s="5">
        <f>D30+D37+D26+D35+D32</f>
        <v>1073.5195799999999</v>
      </c>
      <c r="E25" s="5">
        <f t="shared" si="0"/>
        <v>204.10810889329295</v>
      </c>
      <c r="F25" s="5">
        <f t="shared" si="1"/>
        <v>547.56321999999989</v>
      </c>
    </row>
    <row r="26" spans="1:6" s="6" customFormat="1" ht="33.75" customHeight="1" x14ac:dyDescent="0.25">
      <c r="A26" s="68">
        <v>1110000000</v>
      </c>
      <c r="B26" s="69" t="s">
        <v>122</v>
      </c>
      <c r="C26" s="5">
        <f>C27+C28</f>
        <v>20</v>
      </c>
      <c r="D26" s="5">
        <f>D27+D28</f>
        <v>160.83423999999999</v>
      </c>
      <c r="E26" s="5">
        <f t="shared" si="0"/>
        <v>804.1712</v>
      </c>
      <c r="F26" s="5">
        <f t="shared" si="1"/>
        <v>140.83423999999999</v>
      </c>
    </row>
    <row r="27" spans="1:6" ht="15" customHeight="1" x14ac:dyDescent="0.25">
      <c r="A27" s="16">
        <v>1110502510</v>
      </c>
      <c r="B27" s="17" t="s">
        <v>217</v>
      </c>
      <c r="C27" s="12">
        <v>20</v>
      </c>
      <c r="D27" s="10">
        <v>160.83423999999999</v>
      </c>
      <c r="E27" s="9">
        <f t="shared" si="0"/>
        <v>804.1712</v>
      </c>
      <c r="F27" s="9">
        <f t="shared" si="1"/>
        <v>140.83423999999999</v>
      </c>
    </row>
    <row r="28" spans="1:6" ht="15.75" hidden="1" customHeight="1" x14ac:dyDescent="0.25">
      <c r="A28" s="7">
        <v>1110503510</v>
      </c>
      <c r="B28" s="11" t="s">
        <v>216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hidden="1" customHeight="1" x14ac:dyDescent="0.25">
      <c r="A29" s="7">
        <v>1110532510</v>
      </c>
      <c r="B29" s="11" t="s">
        <v>332</v>
      </c>
      <c r="C29" s="12">
        <v>0</v>
      </c>
      <c r="D29" s="175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 x14ac:dyDescent="0.25">
      <c r="A30" s="68">
        <v>1130000000</v>
      </c>
      <c r="B30" s="69" t="s">
        <v>124</v>
      </c>
      <c r="C30" s="5">
        <f>C31</f>
        <v>50</v>
      </c>
      <c r="D30" s="5">
        <f>D31</f>
        <v>80.687740000000005</v>
      </c>
      <c r="E30" s="5">
        <f t="shared" si="0"/>
        <v>161.37548000000001</v>
      </c>
      <c r="F30" s="5">
        <f t="shared" si="1"/>
        <v>30.687740000000005</v>
      </c>
    </row>
    <row r="31" spans="1:6" ht="34.5" customHeight="1" x14ac:dyDescent="0.25">
      <c r="A31" s="7">
        <v>1130206510</v>
      </c>
      <c r="B31" s="8" t="s">
        <v>397</v>
      </c>
      <c r="C31" s="9">
        <v>50</v>
      </c>
      <c r="D31" s="10">
        <v>80.687740000000005</v>
      </c>
      <c r="E31" s="9">
        <f t="shared" si="0"/>
        <v>161.37548000000001</v>
      </c>
      <c r="F31" s="9">
        <f t="shared" si="1"/>
        <v>30.687740000000005</v>
      </c>
    </row>
    <row r="32" spans="1:6" ht="34.5" customHeight="1" x14ac:dyDescent="0.25">
      <c r="A32" s="70">
        <v>1140000000</v>
      </c>
      <c r="B32" s="71" t="s">
        <v>125</v>
      </c>
      <c r="C32" s="5">
        <f>C33+C34</f>
        <v>137.274</v>
      </c>
      <c r="D32" s="5">
        <f>D33+D34</f>
        <v>12.273999999999999</v>
      </c>
      <c r="E32" s="5">
        <f t="shared" si="0"/>
        <v>8.9412416043824763</v>
      </c>
      <c r="F32" s="5">
        <f t="shared" si="1"/>
        <v>-125</v>
      </c>
    </row>
    <row r="33" spans="1:7" ht="19.5" customHeight="1" x14ac:dyDescent="0.25">
      <c r="A33" s="16">
        <v>1140200000</v>
      </c>
      <c r="B33" s="18" t="s">
        <v>213</v>
      </c>
      <c r="C33" s="9">
        <v>12.273999999999999</v>
      </c>
      <c r="D33" s="10">
        <v>12.273999999999999</v>
      </c>
      <c r="E33" s="9">
        <f t="shared" si="0"/>
        <v>100</v>
      </c>
      <c r="F33" s="9">
        <f t="shared" si="1"/>
        <v>0</v>
      </c>
    </row>
    <row r="34" spans="1:7" ht="17.25" customHeight="1" x14ac:dyDescent="0.25">
      <c r="A34" s="7">
        <v>1140600000</v>
      </c>
      <c r="B34" s="8" t="s">
        <v>214</v>
      </c>
      <c r="C34" s="9">
        <v>125</v>
      </c>
      <c r="D34" s="10">
        <v>0</v>
      </c>
      <c r="E34" s="9">
        <f t="shared" si="0"/>
        <v>0</v>
      </c>
      <c r="F34" s="9">
        <f t="shared" si="1"/>
        <v>-125</v>
      </c>
    </row>
    <row r="35" spans="1:7" x14ac:dyDescent="0.25">
      <c r="A35" s="3">
        <v>1160000000</v>
      </c>
      <c r="B35" s="13" t="s">
        <v>236</v>
      </c>
      <c r="C35" s="5">
        <f>C36</f>
        <v>31.6</v>
      </c>
      <c r="D35" s="14">
        <f>D36</f>
        <v>31.630479999999999</v>
      </c>
      <c r="E35" s="5">
        <f>SUM(D35/C35*100)</f>
        <v>100.09645569620251</v>
      </c>
      <c r="F35" s="5">
        <f>SUM(D35-C35)</f>
        <v>3.0479999999997176E-2</v>
      </c>
    </row>
    <row r="36" spans="1:7" ht="33" customHeight="1" x14ac:dyDescent="0.25">
      <c r="A36" s="7">
        <v>1160701010</v>
      </c>
      <c r="B36" s="8" t="s">
        <v>404</v>
      </c>
      <c r="C36" s="9">
        <v>31.6</v>
      </c>
      <c r="D36" s="10">
        <v>31.630479999999999</v>
      </c>
      <c r="E36" s="9">
        <f>SUM(D36/C36*100)</f>
        <v>100.09645569620251</v>
      </c>
      <c r="F36" s="9">
        <f>SUM(D36-C36)</f>
        <v>3.0479999999997176E-2</v>
      </c>
    </row>
    <row r="37" spans="1:7" ht="14.25" customHeight="1" x14ac:dyDescent="0.25">
      <c r="A37" s="3">
        <v>1170000000</v>
      </c>
      <c r="B37" s="13" t="s">
        <v>128</v>
      </c>
      <c r="C37" s="5">
        <f>C38+C39</f>
        <v>287.08235999999999</v>
      </c>
      <c r="D37" s="5">
        <f>D38+D39</f>
        <v>788.09312</v>
      </c>
      <c r="E37" s="5">
        <f t="shared" si="0"/>
        <v>274.51812782924037</v>
      </c>
      <c r="F37" s="5">
        <f t="shared" si="1"/>
        <v>501.01076</v>
      </c>
    </row>
    <row r="38" spans="1:7" ht="18" customHeight="1" x14ac:dyDescent="0.25">
      <c r="A38" s="7">
        <v>1170105010</v>
      </c>
      <c r="B38" s="8" t="s">
        <v>15</v>
      </c>
      <c r="C38" s="9">
        <v>0</v>
      </c>
      <c r="D38" s="9"/>
      <c r="E38" s="9" t="e">
        <f t="shared" si="0"/>
        <v>#DIV/0!</v>
      </c>
      <c r="F38" s="9">
        <f t="shared" si="1"/>
        <v>0</v>
      </c>
    </row>
    <row r="39" spans="1:7" ht="18.75" customHeight="1" x14ac:dyDescent="0.25">
      <c r="A39" s="7">
        <v>1171503010</v>
      </c>
      <c r="B39" s="11" t="s">
        <v>406</v>
      </c>
      <c r="C39" s="9">
        <v>287.08235999999999</v>
      </c>
      <c r="D39" s="10">
        <v>788.09312</v>
      </c>
      <c r="E39" s="9">
        <f t="shared" si="0"/>
        <v>274.51812782924037</v>
      </c>
      <c r="F39" s="9">
        <f t="shared" si="1"/>
        <v>501.01076</v>
      </c>
    </row>
    <row r="40" spans="1:7" s="6" customFormat="1" ht="18" customHeight="1" x14ac:dyDescent="0.25">
      <c r="A40" s="3">
        <v>1000000000</v>
      </c>
      <c r="B40" s="4" t="s">
        <v>16</v>
      </c>
      <c r="C40" s="125">
        <f>SUM(C4,C25)</f>
        <v>3264.3563600000002</v>
      </c>
      <c r="D40" s="125">
        <f>D4+D25</f>
        <v>3859.8849700000001</v>
      </c>
      <c r="E40" s="5">
        <f t="shared" si="0"/>
        <v>118.24337003451424</v>
      </c>
      <c r="F40" s="5">
        <f t="shared" si="1"/>
        <v>595.52860999999984</v>
      </c>
    </row>
    <row r="41" spans="1:7" s="6" customFormat="1" x14ac:dyDescent="0.25">
      <c r="A41" s="3">
        <v>2000000000</v>
      </c>
      <c r="B41" s="4" t="s">
        <v>17</v>
      </c>
      <c r="C41" s="5">
        <f>C42+C44+C45+C47+C51</f>
        <v>11897.033239999999</v>
      </c>
      <c r="D41" s="5">
        <f>D42+D44+D45+D47+D48+D49+D43+D51</f>
        <v>11854.222389999999</v>
      </c>
      <c r="E41" s="5">
        <f t="shared" si="0"/>
        <v>99.640155245964507</v>
      </c>
      <c r="F41" s="5">
        <f t="shared" si="1"/>
        <v>-42.810849999999846</v>
      </c>
      <c r="G41" s="19"/>
    </row>
    <row r="42" spans="1:7" ht="17.25" customHeight="1" x14ac:dyDescent="0.25">
      <c r="A42" s="16">
        <v>2021000000</v>
      </c>
      <c r="B42" s="17" t="s">
        <v>18</v>
      </c>
      <c r="C42" s="12">
        <v>3431.9</v>
      </c>
      <c r="D42" s="253">
        <v>3431.9</v>
      </c>
      <c r="E42" s="9">
        <f t="shared" si="0"/>
        <v>100</v>
      </c>
      <c r="F42" s="9">
        <f t="shared" si="1"/>
        <v>0</v>
      </c>
    </row>
    <row r="43" spans="1:7" ht="15" customHeight="1" x14ac:dyDescent="0.25">
      <c r="A43" s="16">
        <v>2021500200</v>
      </c>
      <c r="B43" s="17" t="s">
        <v>223</v>
      </c>
      <c r="C43" s="254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 x14ac:dyDescent="0.25">
      <c r="A44" s="16">
        <v>2022000000</v>
      </c>
      <c r="B44" s="17" t="s">
        <v>19</v>
      </c>
      <c r="C44" s="12">
        <v>4194.3995699999996</v>
      </c>
      <c r="D44" s="10">
        <v>4194.3995699999996</v>
      </c>
      <c r="E44" s="9">
        <f t="shared" si="0"/>
        <v>100</v>
      </c>
      <c r="F44" s="9">
        <f t="shared" si="1"/>
        <v>0</v>
      </c>
    </row>
    <row r="45" spans="1:7" ht="15.75" customHeight="1" x14ac:dyDescent="0.25">
      <c r="A45" s="16">
        <v>2023000000</v>
      </c>
      <c r="B45" s="17" t="s">
        <v>20</v>
      </c>
      <c r="C45" s="12">
        <v>269.82522</v>
      </c>
      <c r="D45" s="180">
        <v>269.82522</v>
      </c>
      <c r="E45" s="9">
        <f t="shared" si="0"/>
        <v>100</v>
      </c>
      <c r="F45" s="9">
        <f t="shared" si="1"/>
        <v>0</v>
      </c>
    </row>
    <row r="46" spans="1:7" ht="15.75" customHeight="1" x14ac:dyDescent="0.25">
      <c r="A46" s="16">
        <v>2070503010</v>
      </c>
      <c r="B46" s="17" t="s">
        <v>252</v>
      </c>
      <c r="C46" s="12"/>
      <c r="D46" s="180"/>
      <c r="E46" s="9" t="e">
        <f t="shared" si="0"/>
        <v>#DIV/0!</v>
      </c>
      <c r="F46" s="9">
        <f t="shared" si="1"/>
        <v>0</v>
      </c>
    </row>
    <row r="47" spans="1:7" ht="13.5" customHeight="1" x14ac:dyDescent="0.25">
      <c r="A47" s="16">
        <v>2024000000</v>
      </c>
      <c r="B47" s="17" t="s">
        <v>21</v>
      </c>
      <c r="C47" s="12">
        <v>4000.9084499999999</v>
      </c>
      <c r="D47" s="181">
        <v>3958.0976000000001</v>
      </c>
      <c r="E47" s="9">
        <f t="shared" si="0"/>
        <v>98.929971766787119</v>
      </c>
      <c r="F47" s="9">
        <f t="shared" si="1"/>
        <v>-42.810849999999846</v>
      </c>
    </row>
    <row r="48" spans="1:7" ht="27.75" hidden="1" customHeight="1" x14ac:dyDescent="0.25">
      <c r="A48" s="16">
        <v>2020900000</v>
      </c>
      <c r="B48" s="18" t="s">
        <v>22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8" ht="21.75" hidden="1" customHeight="1" x14ac:dyDescent="0.25">
      <c r="A49" s="7">
        <v>2190500005</v>
      </c>
      <c r="B49" s="11" t="s">
        <v>23</v>
      </c>
      <c r="C49" s="14"/>
      <c r="D49" s="14"/>
      <c r="E49" s="5"/>
      <c r="F49" s="5">
        <f>SUM(D49-C49)</f>
        <v>0</v>
      </c>
    </row>
    <row r="50" spans="1:8" s="6" customFormat="1" ht="0.75" customHeight="1" x14ac:dyDescent="0.25">
      <c r="A50" s="3">
        <v>3000000000</v>
      </c>
      <c r="B50" s="13" t="s">
        <v>24</v>
      </c>
      <c r="C50" s="120">
        <v>0</v>
      </c>
      <c r="D50" s="119">
        <v>0</v>
      </c>
      <c r="E50" s="5" t="e">
        <f t="shared" si="0"/>
        <v>#DIV/0!</v>
      </c>
      <c r="F50" s="5">
        <f t="shared" si="1"/>
        <v>0</v>
      </c>
    </row>
    <row r="51" spans="1:8" s="6" customFormat="1" ht="14.25" customHeight="1" x14ac:dyDescent="0.25">
      <c r="A51" s="7">
        <v>2070502010</v>
      </c>
      <c r="B51" s="8" t="s">
        <v>281</v>
      </c>
      <c r="C51" s="209"/>
      <c r="D51" s="210"/>
      <c r="E51" s="9" t="e">
        <f t="shared" si="0"/>
        <v>#DIV/0!</v>
      </c>
      <c r="F51" s="9">
        <f t="shared" si="1"/>
        <v>0</v>
      </c>
    </row>
    <row r="52" spans="1:8" s="6" customFormat="1" x14ac:dyDescent="0.25">
      <c r="A52" s="3"/>
      <c r="B52" s="4" t="s">
        <v>25</v>
      </c>
      <c r="C52" s="240">
        <f>SUM(C40,C41,C50)</f>
        <v>15161.389599999999</v>
      </c>
      <c r="D52" s="241">
        <f>D40+D41</f>
        <v>15714.107359999998</v>
      </c>
      <c r="E52" s="5">
        <f t="shared" si="0"/>
        <v>103.64556135408591</v>
      </c>
      <c r="F52" s="5">
        <f t="shared" si="1"/>
        <v>552.71775999999954</v>
      </c>
      <c r="G52" s="93"/>
      <c r="H52" s="193"/>
    </row>
    <row r="53" spans="1:8" s="6" customFormat="1" x14ac:dyDescent="0.25">
      <c r="A53" s="3"/>
      <c r="B53" s="21" t="s">
        <v>299</v>
      </c>
      <c r="C53" s="265">
        <f>C52-C99</f>
        <v>-942.68691000000035</v>
      </c>
      <c r="D53" s="265">
        <f>D52-D99</f>
        <v>-63.911940000001778</v>
      </c>
      <c r="E53" s="22"/>
      <c r="F53" s="22"/>
    </row>
    <row r="54" spans="1:8" ht="9" customHeight="1" x14ac:dyDescent="0.25">
      <c r="A54" s="23"/>
      <c r="B54" s="24"/>
      <c r="C54" s="177"/>
      <c r="D54" s="25"/>
      <c r="E54" s="26"/>
      <c r="F54" s="27"/>
    </row>
    <row r="55" spans="1:8" ht="55.5" customHeight="1" x14ac:dyDescent="0.25">
      <c r="A55" s="28" t="s">
        <v>0</v>
      </c>
      <c r="B55" s="28" t="s">
        <v>26</v>
      </c>
      <c r="C55" s="72" t="s">
        <v>394</v>
      </c>
      <c r="D55" s="399" t="s">
        <v>409</v>
      </c>
      <c r="E55" s="72" t="s">
        <v>2</v>
      </c>
      <c r="F55" s="73" t="s">
        <v>3</v>
      </c>
    </row>
    <row r="56" spans="1:8" x14ac:dyDescent="0.25">
      <c r="A56" s="29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8" s="6" customFormat="1" ht="16.5" customHeight="1" x14ac:dyDescent="0.25">
      <c r="A57" s="30" t="s">
        <v>27</v>
      </c>
      <c r="B57" s="31" t="s">
        <v>28</v>
      </c>
      <c r="C57" s="32">
        <f>C58+C59+C60+C61+C62+C64+C63</f>
        <v>2315.0158499999998</v>
      </c>
      <c r="D57" s="33">
        <f>D58+D59+D60+D61+D62+D64+D63</f>
        <v>2301.27882</v>
      </c>
      <c r="E57" s="34">
        <f>SUM(D57/C57*100)</f>
        <v>99.406611838100375</v>
      </c>
      <c r="F57" s="34">
        <f>SUM(D57-C57)</f>
        <v>-13.737029999999777</v>
      </c>
    </row>
    <row r="58" spans="1:8" s="6" customFormat="1" ht="31.5" hidden="1" x14ac:dyDescent="0.25">
      <c r="A58" s="35" t="s">
        <v>29</v>
      </c>
      <c r="B58" s="36" t="s">
        <v>30</v>
      </c>
      <c r="C58" s="37"/>
      <c r="D58" s="37"/>
      <c r="E58" s="38"/>
      <c r="F58" s="38"/>
    </row>
    <row r="59" spans="1:8" ht="18.75" customHeight="1" x14ac:dyDescent="0.25">
      <c r="A59" s="35" t="s">
        <v>31</v>
      </c>
      <c r="B59" s="39" t="s">
        <v>32</v>
      </c>
      <c r="C59" s="37">
        <v>1894.40372</v>
      </c>
      <c r="D59" s="37">
        <v>1886.66669</v>
      </c>
      <c r="E59" s="38">
        <f t="shared" ref="E59:E99" si="3">SUM(D59/C59*100)</f>
        <v>99.591584944733953</v>
      </c>
      <c r="F59" s="38">
        <f t="shared" ref="F59:F99" si="4">SUM(D59-C59)</f>
        <v>-7.7370300000000043</v>
      </c>
    </row>
    <row r="60" spans="1:8" ht="16.5" hidden="1" customHeight="1" x14ac:dyDescent="0.25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8" ht="31.5" hidden="1" customHeight="1" x14ac:dyDescent="0.25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 x14ac:dyDescent="0.25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 x14ac:dyDescent="0.25">
      <c r="A63" s="35" t="s">
        <v>39</v>
      </c>
      <c r="B63" s="39" t="s">
        <v>40</v>
      </c>
      <c r="C63" s="40">
        <v>1</v>
      </c>
      <c r="D63" s="40">
        <v>0</v>
      </c>
      <c r="E63" s="38">
        <f t="shared" si="3"/>
        <v>0</v>
      </c>
      <c r="F63" s="38">
        <f t="shared" si="4"/>
        <v>-1</v>
      </c>
    </row>
    <row r="64" spans="1:8" ht="15" customHeight="1" x14ac:dyDescent="0.25">
      <c r="A64" s="35" t="s">
        <v>41</v>
      </c>
      <c r="B64" s="39" t="s">
        <v>42</v>
      </c>
      <c r="C64" s="37">
        <v>419.61212999999998</v>
      </c>
      <c r="D64" s="37">
        <v>414.61212999999998</v>
      </c>
      <c r="E64" s="38">
        <f t="shared" si="3"/>
        <v>98.80842338852311</v>
      </c>
      <c r="F64" s="38">
        <f t="shared" si="4"/>
        <v>-5</v>
      </c>
    </row>
    <row r="65" spans="1:7" s="6" customFormat="1" x14ac:dyDescent="0.25">
      <c r="A65" s="41" t="s">
        <v>43</v>
      </c>
      <c r="B65" s="42" t="s">
        <v>44</v>
      </c>
      <c r="C65" s="32">
        <f>C66</f>
        <v>269.82522</v>
      </c>
      <c r="D65" s="32">
        <f>D66</f>
        <v>269.82522</v>
      </c>
      <c r="E65" s="34">
        <f t="shared" si="3"/>
        <v>100</v>
      </c>
      <c r="F65" s="34">
        <f t="shared" si="4"/>
        <v>0</v>
      </c>
    </row>
    <row r="66" spans="1:7" x14ac:dyDescent="0.25">
      <c r="A66" s="43" t="s">
        <v>45</v>
      </c>
      <c r="B66" s="44" t="s">
        <v>46</v>
      </c>
      <c r="C66" s="37">
        <v>269.82522</v>
      </c>
      <c r="D66" s="37">
        <v>269.82522</v>
      </c>
      <c r="E66" s="38">
        <f t="shared" si="3"/>
        <v>100</v>
      </c>
      <c r="F66" s="38">
        <f t="shared" si="4"/>
        <v>0</v>
      </c>
    </row>
    <row r="67" spans="1:7" s="6" customFormat="1" ht="16.5" customHeight="1" x14ac:dyDescent="0.25">
      <c r="A67" s="30" t="s">
        <v>47</v>
      </c>
      <c r="B67" s="31" t="s">
        <v>48</v>
      </c>
      <c r="C67" s="32">
        <f>C71+C70+C72</f>
        <v>20.097239999999999</v>
      </c>
      <c r="D67" s="32">
        <f>D71+D70+D72</f>
        <v>18.097239999999999</v>
      </c>
      <c r="E67" s="34">
        <f t="shared" si="3"/>
        <v>90.048384753329316</v>
      </c>
      <c r="F67" s="34">
        <f t="shared" si="4"/>
        <v>-2</v>
      </c>
    </row>
    <row r="68" spans="1:7" hidden="1" x14ac:dyDescent="0.25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 x14ac:dyDescent="0.25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 x14ac:dyDescent="0.25">
      <c r="A70" s="46" t="s">
        <v>53</v>
      </c>
      <c r="B70" s="47" t="s">
        <v>54</v>
      </c>
      <c r="C70" s="95">
        <v>2.83134</v>
      </c>
      <c r="D70" s="37">
        <v>2.83134</v>
      </c>
      <c r="E70" s="34">
        <f t="shared" si="3"/>
        <v>100</v>
      </c>
      <c r="F70" s="34">
        <f t="shared" si="4"/>
        <v>0</v>
      </c>
    </row>
    <row r="71" spans="1:7" ht="15.75" customHeight="1" x14ac:dyDescent="0.25">
      <c r="A71" s="46" t="s">
        <v>210</v>
      </c>
      <c r="B71" s="47" t="s">
        <v>211</v>
      </c>
      <c r="C71" s="37">
        <v>15.2659</v>
      </c>
      <c r="D71" s="37">
        <v>13.2659</v>
      </c>
      <c r="E71" s="34">
        <f t="shared" si="3"/>
        <v>86.898905403546465</v>
      </c>
      <c r="F71" s="34">
        <f t="shared" si="4"/>
        <v>-2</v>
      </c>
    </row>
    <row r="72" spans="1:7" ht="15.75" customHeight="1" x14ac:dyDescent="0.25">
      <c r="A72" s="46" t="s">
        <v>330</v>
      </c>
      <c r="B72" s="47" t="s">
        <v>333</v>
      </c>
      <c r="C72" s="37">
        <v>2</v>
      </c>
      <c r="D72" s="37">
        <v>2</v>
      </c>
      <c r="E72" s="34">
        <f>SUM(D72/C72*100)</f>
        <v>100</v>
      </c>
      <c r="F72" s="34">
        <f>SUM(D72-C72)</f>
        <v>0</v>
      </c>
    </row>
    <row r="73" spans="1:7" s="6" customFormat="1" ht="12.75" customHeight="1" x14ac:dyDescent="0.25">
      <c r="A73" s="30" t="s">
        <v>55</v>
      </c>
      <c r="B73" s="31" t="s">
        <v>56</v>
      </c>
      <c r="C73" s="48">
        <f>C74+C75+C76+C77</f>
        <v>5626.7911999999997</v>
      </c>
      <c r="D73" s="48">
        <f>SUM(D74:D77)</f>
        <v>5597.89606</v>
      </c>
      <c r="E73" s="34">
        <f t="shared" si="3"/>
        <v>99.486472147749154</v>
      </c>
      <c r="F73" s="34">
        <f t="shared" si="4"/>
        <v>-28.895139999999628</v>
      </c>
    </row>
    <row r="74" spans="1:7" ht="0.75" customHeight="1" x14ac:dyDescent="0.25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2.75" hidden="1" customHeight="1" x14ac:dyDescent="0.25">
      <c r="A75" s="35" t="s">
        <v>59</v>
      </c>
      <c r="B75" s="39" t="s">
        <v>60</v>
      </c>
      <c r="C75" s="49"/>
      <c r="D75" s="37"/>
      <c r="E75" s="38" t="e">
        <f t="shared" si="3"/>
        <v>#DIV/0!</v>
      </c>
      <c r="F75" s="38">
        <f t="shared" si="4"/>
        <v>0</v>
      </c>
      <c r="G75" s="50"/>
    </row>
    <row r="76" spans="1:7" ht="18" customHeight="1" x14ac:dyDescent="0.25">
      <c r="A76" s="35" t="s">
        <v>61</v>
      </c>
      <c r="B76" s="39" t="s">
        <v>62</v>
      </c>
      <c r="C76" s="49">
        <v>5446.7911999999997</v>
      </c>
      <c r="D76" s="37">
        <v>5427.89606</v>
      </c>
      <c r="E76" s="38">
        <f t="shared" si="3"/>
        <v>99.653095936558032</v>
      </c>
      <c r="F76" s="38">
        <f t="shared" si="4"/>
        <v>-18.895139999999628</v>
      </c>
    </row>
    <row r="77" spans="1:7" x14ac:dyDescent="0.25">
      <c r="A77" s="35" t="s">
        <v>63</v>
      </c>
      <c r="B77" s="39" t="s">
        <v>64</v>
      </c>
      <c r="C77" s="49">
        <v>180</v>
      </c>
      <c r="D77" s="37">
        <v>170</v>
      </c>
      <c r="E77" s="38">
        <f t="shared" si="3"/>
        <v>94.444444444444443</v>
      </c>
      <c r="F77" s="38">
        <f t="shared" si="4"/>
        <v>-10</v>
      </c>
    </row>
    <row r="78" spans="1:7" s="6" customFormat="1" ht="15.75" customHeight="1" x14ac:dyDescent="0.25">
      <c r="A78" s="30" t="s">
        <v>65</v>
      </c>
      <c r="B78" s="31" t="s">
        <v>66</v>
      </c>
      <c r="C78" s="32">
        <f>SUM(C79:C81)</f>
        <v>5876.0360000000001</v>
      </c>
      <c r="D78" s="32">
        <f>SUM(D79:D81)</f>
        <v>5594.6333800000002</v>
      </c>
      <c r="E78" s="34">
        <f t="shared" si="3"/>
        <v>95.211012662277767</v>
      </c>
      <c r="F78" s="34">
        <f t="shared" si="4"/>
        <v>-281.40261999999984</v>
      </c>
    </row>
    <row r="79" spans="1:7" hidden="1" x14ac:dyDescent="0.25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20.25" customHeight="1" x14ac:dyDescent="0.25">
      <c r="A80" s="35" t="s">
        <v>69</v>
      </c>
      <c r="B80" s="51" t="s">
        <v>70</v>
      </c>
      <c r="C80" s="37">
        <v>3455.25</v>
      </c>
      <c r="D80" s="37">
        <v>3203.5</v>
      </c>
      <c r="E80" s="38">
        <f t="shared" si="3"/>
        <v>92.71398596338905</v>
      </c>
      <c r="F80" s="38">
        <f t="shared" si="4"/>
        <v>-251.75</v>
      </c>
    </row>
    <row r="81" spans="1:6" x14ac:dyDescent="0.25">
      <c r="A81" s="35" t="s">
        <v>71</v>
      </c>
      <c r="B81" s="39" t="s">
        <v>72</v>
      </c>
      <c r="C81" s="37">
        <v>2420.7860000000001</v>
      </c>
      <c r="D81" s="37">
        <v>2391.1333800000002</v>
      </c>
      <c r="E81" s="38">
        <f>SUM(D81/C81*100)</f>
        <v>98.775082968920017</v>
      </c>
      <c r="F81" s="38">
        <f t="shared" si="4"/>
        <v>-29.652619999999843</v>
      </c>
    </row>
    <row r="82" spans="1:6" s="6" customFormat="1" x14ac:dyDescent="0.25">
      <c r="A82" s="30" t="s">
        <v>81</v>
      </c>
      <c r="B82" s="31" t="s">
        <v>82</v>
      </c>
      <c r="C82" s="32">
        <f>C83</f>
        <v>1974.3109999999999</v>
      </c>
      <c r="D82" s="32">
        <f>SUM(D83)</f>
        <v>1974.2885799999999</v>
      </c>
      <c r="E82" s="34">
        <f t="shared" si="3"/>
        <v>99.998864413965165</v>
      </c>
      <c r="F82" s="34">
        <f t="shared" si="4"/>
        <v>-2.2420000000010987E-2</v>
      </c>
    </row>
    <row r="83" spans="1:6" ht="18.75" customHeight="1" x14ac:dyDescent="0.25">
      <c r="A83" s="35" t="s">
        <v>83</v>
      </c>
      <c r="B83" s="39" t="s">
        <v>225</v>
      </c>
      <c r="C83" s="37">
        <v>1974.3109999999999</v>
      </c>
      <c r="D83" s="37">
        <v>1974.2885799999999</v>
      </c>
      <c r="E83" s="38">
        <f t="shared" si="3"/>
        <v>99.998864413965165</v>
      </c>
      <c r="F83" s="38">
        <f t="shared" si="4"/>
        <v>-2.2420000000010987E-2</v>
      </c>
    </row>
    <row r="84" spans="1:6" s="6" customFormat="1" ht="0.75" hidden="1" customHeight="1" x14ac:dyDescent="0.25">
      <c r="A84" s="52">
        <v>1000</v>
      </c>
      <c r="B84" s="31" t="s">
        <v>84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 x14ac:dyDescent="0.25">
      <c r="A85" s="53">
        <v>1001</v>
      </c>
      <c r="B85" s="54" t="s">
        <v>85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4.25" hidden="1" customHeight="1" x14ac:dyDescent="0.25">
      <c r="A86" s="53">
        <v>1003</v>
      </c>
      <c r="B86" s="54" t="s">
        <v>86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.5" hidden="1" customHeight="1" x14ac:dyDescent="0.25">
      <c r="A87" s="53">
        <v>1004</v>
      </c>
      <c r="B87" s="54" t="s">
        <v>87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0.5" hidden="1" customHeight="1" x14ac:dyDescent="0.25">
      <c r="A88" s="35" t="s">
        <v>88</v>
      </c>
      <c r="B88" s="39" t="s">
        <v>89</v>
      </c>
      <c r="C88" s="37"/>
      <c r="D88" s="37"/>
      <c r="E88" s="38"/>
      <c r="F88" s="38">
        <f t="shared" si="4"/>
        <v>0</v>
      </c>
    </row>
    <row r="89" spans="1:6" x14ac:dyDescent="0.25">
      <c r="A89" s="30" t="s">
        <v>90</v>
      </c>
      <c r="B89" s="31" t="s">
        <v>91</v>
      </c>
      <c r="C89" s="32">
        <f>C90+C91+C92+C93+C94</f>
        <v>22</v>
      </c>
      <c r="D89" s="32">
        <f>D90+D91+D92+D93+D94</f>
        <v>22</v>
      </c>
      <c r="E89" s="38">
        <f t="shared" si="3"/>
        <v>100</v>
      </c>
      <c r="F89" s="22">
        <f>F90+F91+F92+F93+F94</f>
        <v>0</v>
      </c>
    </row>
    <row r="90" spans="1:6" ht="17.25" customHeight="1" x14ac:dyDescent="0.25">
      <c r="A90" s="35" t="s">
        <v>92</v>
      </c>
      <c r="B90" s="39" t="s">
        <v>93</v>
      </c>
      <c r="C90" s="37">
        <v>22</v>
      </c>
      <c r="D90" s="37">
        <v>22</v>
      </c>
      <c r="E90" s="38">
        <f t="shared" si="3"/>
        <v>100</v>
      </c>
      <c r="F90" s="38">
        <f>SUM(D90-C90)</f>
        <v>0</v>
      </c>
    </row>
    <row r="91" spans="1:6" ht="15.75" hidden="1" customHeight="1" x14ac:dyDescent="0.25">
      <c r="A91" s="35" t="s">
        <v>94</v>
      </c>
      <c r="B91" s="39" t="s">
        <v>95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.75" hidden="1" customHeight="1" x14ac:dyDescent="0.25">
      <c r="A92" s="35" t="s">
        <v>96</v>
      </c>
      <c r="B92" s="39" t="s">
        <v>97</v>
      </c>
      <c r="C92" s="37"/>
      <c r="D92" s="37"/>
      <c r="E92" s="38" t="e">
        <f t="shared" si="3"/>
        <v>#DIV/0!</v>
      </c>
      <c r="F92" s="38"/>
    </row>
    <row r="93" spans="1:6" ht="15.75" hidden="1" customHeight="1" x14ac:dyDescent="0.25">
      <c r="A93" s="35" t="s">
        <v>98</v>
      </c>
      <c r="B93" s="39" t="s">
        <v>99</v>
      </c>
      <c r="C93" s="37"/>
      <c r="D93" s="37"/>
      <c r="E93" s="38" t="e">
        <f t="shared" si="3"/>
        <v>#DIV/0!</v>
      </c>
      <c r="F93" s="38"/>
    </row>
    <row r="94" spans="1:6" ht="15.75" hidden="1" customHeight="1" x14ac:dyDescent="0.25">
      <c r="A94" s="35" t="s">
        <v>100</v>
      </c>
      <c r="B94" s="39" t="s">
        <v>101</v>
      </c>
      <c r="C94" s="37"/>
      <c r="D94" s="37"/>
      <c r="E94" s="38" t="e">
        <f t="shared" si="3"/>
        <v>#DIV/0!</v>
      </c>
      <c r="F94" s="38"/>
    </row>
    <row r="95" spans="1:6" s="6" customFormat="1" ht="15.75" hidden="1" customHeight="1" x14ac:dyDescent="0.25">
      <c r="A95" s="52">
        <v>1400</v>
      </c>
      <c r="B95" s="56" t="s">
        <v>109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 x14ac:dyDescent="0.25">
      <c r="A96" s="53">
        <v>1401</v>
      </c>
      <c r="B96" s="54" t="s">
        <v>110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idden="1" x14ac:dyDescent="0.25">
      <c r="A97" s="53">
        <v>1402</v>
      </c>
      <c r="B97" s="54" t="s">
        <v>111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 x14ac:dyDescent="0.25">
      <c r="A98" s="53">
        <v>1403</v>
      </c>
      <c r="B98" s="54" t="s">
        <v>112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 x14ac:dyDescent="0.25">
      <c r="A99" s="52"/>
      <c r="B99" s="57" t="s">
        <v>113</v>
      </c>
      <c r="C99" s="246">
        <f>C57+C65+C67+C73+C78+C82+C84+C89+C95</f>
        <v>16104.076509999999</v>
      </c>
      <c r="D99" s="246">
        <f>D57+D65+D67+D73+D78+D82+D84+D89+D95</f>
        <v>15778.0193</v>
      </c>
      <c r="E99" s="34">
        <f t="shared" si="3"/>
        <v>97.975312587483486</v>
      </c>
      <c r="F99" s="34">
        <f t="shared" si="4"/>
        <v>-326.05720999999903</v>
      </c>
      <c r="G99" s="193"/>
      <c r="H99" s="146"/>
    </row>
    <row r="100" spans="1:8" ht="13.5" customHeight="1" x14ac:dyDescent="0.25">
      <c r="C100" s="115"/>
      <c r="D100" s="61"/>
    </row>
    <row r="101" spans="1:8" s="65" customFormat="1" ht="12.75" x14ac:dyDescent="0.2">
      <c r="A101" s="63" t="s">
        <v>114</v>
      </c>
      <c r="B101" s="63"/>
      <c r="C101" s="132"/>
      <c r="D101" s="132"/>
    </row>
    <row r="102" spans="1:8" s="65" customFormat="1" ht="12.75" x14ac:dyDescent="0.2">
      <c r="A102" s="66" t="s">
        <v>115</v>
      </c>
      <c r="B102" s="66"/>
      <c r="C102" s="117" t="s">
        <v>116</v>
      </c>
    </row>
    <row r="104" spans="1:8" ht="5.25" customHeight="1" x14ac:dyDescent="0.25"/>
    <row r="143" hidden="1" x14ac:dyDescent="0.25"/>
  </sheetData>
  <customSheetViews>
    <customSheetView guid="{4D5E6ACC-9055-4DE9-8C20-9052F3C35D19}" scale="70" showPageBreaks="1" printArea="1" hiddenRows="1" state="hidden" view="pageBreakPreview" topLeftCell="A33">
      <selection activeCell="D64" sqref="D64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5C539BE6-C8E0-453F-AB5E-9E58094195EA}" scale="70" showPageBreaks="1" printArea="1" hiddenRows="1" view="pageBreakPreview" topLeftCell="A32">
      <selection activeCell="C82" sqref="C82"/>
      <pageMargins left="0.70866141732283472" right="0.70866141732283472" top="0.74803149606299213" bottom="0.74803149606299213" header="0.31496062992125984" footer="0.31496062992125984"/>
      <pageSetup paperSize="9" scale="54" orientation="portrait" r:id="rId2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4"/>
    </customSheetView>
    <customSheetView guid="{1A52382B-3765-4E8C-903F-6B8919B7242E}" showPageBreaks="1" printArea="1" hiddenRows="1" topLeftCell="A47">
      <selection activeCell="C57" sqref="C57:D99"/>
      <pageMargins left="0.7" right="0.7" top="0.75" bottom="0.75" header="0.3" footer="0.3"/>
      <pageSetup paperSize="9" scale="54" orientation="portrait" r:id="rId5"/>
    </customSheetView>
    <customSheetView guid="{B31C8DB7-3E78-4144-A6B5-8DE36DE63F0E}" showPageBreaks="1" printArea="1" hiddenRows="1" topLeftCell="A29">
      <selection activeCell="D81" sqref="D81"/>
      <pageMargins left="0.7" right="0.7" top="0.75" bottom="0.75" header="0.3" footer="0.3"/>
      <pageSetup paperSize="9" scale="54" orientation="portrait" r:id="rId6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7"/>
    </customSheetView>
    <customSheetView guid="{B30CE22D-C12F-4E12-8BB9-3AAE0A6991CC}" scale="70" showPageBreaks="1" printArea="1" hiddenRows="1" view="pageBreakPreview">
      <selection activeCell="C45" sqref="C45"/>
      <pageMargins left="0.70866141732283472" right="0.70866141732283472" top="0.74803149606299213" bottom="0.74803149606299213" header="0.31496062992125984" footer="0.31496062992125984"/>
      <pageSetup paperSize="9" scale="51" orientation="portrait" r:id="rId8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39" orientation="portrait" r:id="rId9"/>
    </customSheetView>
    <customSheetView guid="{3DCB9AAA-F09C-4EA6-B992-F93E466D374A}" printArea="1" hiddenRows="1" topLeftCell="A51">
      <selection activeCell="B100" sqref="B100"/>
      <pageMargins left="0.7" right="0.7" top="0.75" bottom="0.75" header="0.3" footer="0.3"/>
      <pageSetup paperSize="9" scale="54" orientation="portrait" r:id="rId10"/>
    </customSheetView>
    <customSheetView guid="{F85EE840-0C31-454A-8951-832C2E9E0600}" scale="70" showPageBreaks="1" printArea="1" hiddenRows="1" state="hidden" view="pageBreakPreview" topLeftCell="A30">
      <selection activeCell="C69" sqref="C69"/>
      <pageMargins left="0.70866141732283472" right="0.70866141732283472" top="0.74803149606299213" bottom="0.74803149606299213" header="0.31496062992125984" footer="0.31496062992125984"/>
      <pageSetup paperSize="9" scale="54" orientation="portrait" r:id="rId11"/>
    </customSheetView>
    <customSheetView guid="{F1E84C44-1ACD-474A-BDE0-C7088DB6C590}" scale="70" showPageBreaks="1" printArea="1" hiddenRows="1" state="hidden" view="pageBreakPreview" topLeftCell="A33">
      <selection activeCell="D64" sqref="D64"/>
      <pageMargins left="0.70866141732283472" right="0.70866141732283472" top="0.74803149606299213" bottom="0.74803149606299213" header="0.31496062992125984" footer="0.31496062992125984"/>
      <pageSetup paperSize="9" scale="54" orientation="portrait" r:id="rId12"/>
    </customSheetView>
    <customSheetView guid="{61528DAC-5C4C-48F4-ADE2-8A724B05A086}" scale="70" showPageBreaks="1" printArea="1" hiddenRows="1" state="hidden" view="pageBreakPreview" topLeftCell="A33">
      <selection activeCell="D64" sqref="D64"/>
      <pageMargins left="0.70866141732283472" right="0.70866141732283472" top="0.74803149606299213" bottom="0.74803149606299213" header="0.31496062992125984" footer="0.31496062992125984"/>
      <pageSetup paperSize="9" scale="54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T33"/>
  <sheetViews>
    <sheetView view="pageBreakPreview" topLeftCell="DT4" zoomScale="70" zoomScaleSheetLayoutView="70" workbookViewId="0">
      <selection activeCell="EG18" sqref="EG18"/>
    </sheetView>
  </sheetViews>
  <sheetFormatPr defaultRowHeight="15" x14ac:dyDescent="0.2"/>
  <cols>
    <col min="1" max="1" width="6.140625" style="148" customWidth="1"/>
    <col min="2" max="2" width="26.42578125" style="148" customWidth="1"/>
    <col min="3" max="3" width="17" style="148" customWidth="1"/>
    <col min="4" max="4" width="18.85546875" style="149" customWidth="1"/>
    <col min="5" max="5" width="11.42578125" style="148" customWidth="1"/>
    <col min="6" max="6" width="15.42578125" style="148" customWidth="1"/>
    <col min="7" max="7" width="17.140625" style="148" customWidth="1"/>
    <col min="8" max="9" width="11" style="148" customWidth="1"/>
    <col min="10" max="10" width="6.140625" style="148" customWidth="1"/>
    <col min="11" max="11" width="6.5703125" style="148" customWidth="1"/>
    <col min="12" max="12" width="15.5703125" style="148" customWidth="1"/>
    <col min="13" max="13" width="15.140625" style="148" customWidth="1"/>
    <col min="14" max="16" width="11.140625" style="148" customWidth="1"/>
    <col min="17" max="17" width="6.28515625" style="148" customWidth="1"/>
    <col min="18" max="18" width="11.140625" style="148" customWidth="1"/>
    <col min="19" max="19" width="11.5703125" style="148" customWidth="1"/>
    <col min="20" max="20" width="11.140625" style="148" customWidth="1"/>
    <col min="21" max="21" width="9" style="148" customWidth="1"/>
    <col min="22" max="23" width="10.140625" style="148" customWidth="1"/>
    <col min="24" max="24" width="14.85546875" style="148" customWidth="1"/>
    <col min="25" max="25" width="13.85546875" style="148" customWidth="1"/>
    <col min="26" max="26" width="10" style="148" customWidth="1"/>
    <col min="27" max="27" width="10.5703125" style="148" customWidth="1"/>
    <col min="28" max="28" width="12.140625" style="148" customWidth="1"/>
    <col min="29" max="29" width="12.28515625" style="148" customWidth="1"/>
    <col min="30" max="30" width="13.5703125" style="148" customWidth="1"/>
    <col min="31" max="31" width="13.42578125" style="148" customWidth="1"/>
    <col min="32" max="32" width="12.5703125" style="148" customWidth="1"/>
    <col min="33" max="34" width="14.85546875" style="148" customWidth="1"/>
    <col min="35" max="35" width="10.7109375" style="148" customWidth="1"/>
    <col min="36" max="36" width="17" style="148" customWidth="1"/>
    <col min="37" max="37" width="15.7109375" style="148" customWidth="1"/>
    <col min="38" max="38" width="10" style="148" customWidth="1"/>
    <col min="39" max="39" width="13.85546875" style="148" customWidth="1"/>
    <col min="40" max="40" width="12.28515625" style="148" customWidth="1"/>
    <col min="41" max="41" width="11.85546875" style="148" customWidth="1"/>
    <col min="42" max="42" width="11" style="148" customWidth="1"/>
    <col min="43" max="43" width="11.85546875" style="148" customWidth="1"/>
    <col min="44" max="44" width="13.7109375" style="148" customWidth="1"/>
    <col min="45" max="45" width="12" style="148" customWidth="1"/>
    <col min="46" max="46" width="13.5703125" style="148" customWidth="1"/>
    <col min="47" max="47" width="16.28515625" style="148" customWidth="1"/>
    <col min="48" max="48" width="14.28515625" style="148" customWidth="1"/>
    <col min="49" max="49" width="15.42578125" style="148" customWidth="1"/>
    <col min="50" max="50" width="11" style="148" customWidth="1"/>
    <col min="51" max="51" width="14.42578125" style="148" customWidth="1"/>
    <col min="52" max="52" width="16" style="148" customWidth="1"/>
    <col min="53" max="53" width="12.42578125" style="148" customWidth="1"/>
    <col min="54" max="54" width="9.42578125" style="148" hidden="1" customWidth="1"/>
    <col min="55" max="55" width="9.7109375" style="148" hidden="1" customWidth="1"/>
    <col min="56" max="56" width="11.85546875" style="148" hidden="1" customWidth="1"/>
    <col min="57" max="57" width="13.85546875" style="148" customWidth="1"/>
    <col min="58" max="58" width="15.140625" style="148" customWidth="1"/>
    <col min="59" max="59" width="11.7109375" style="148" customWidth="1"/>
    <col min="60" max="62" width="9.85546875" style="148" hidden="1" customWidth="1"/>
    <col min="63" max="63" width="17.42578125" style="148" customWidth="1"/>
    <col min="64" max="64" width="14" style="148" customWidth="1"/>
    <col min="65" max="65" width="16" style="148" customWidth="1"/>
    <col min="66" max="67" width="9.7109375" style="148" hidden="1" customWidth="1"/>
    <col min="68" max="68" width="17.7109375" style="148" hidden="1" customWidth="1"/>
    <col min="69" max="69" width="0.42578125" style="148" customWidth="1"/>
    <col min="70" max="70" width="20.5703125" style="148" hidden="1" customWidth="1"/>
    <col min="71" max="71" width="10.140625" style="148" hidden="1" customWidth="1"/>
    <col min="72" max="72" width="12.7109375" style="148" customWidth="1"/>
    <col min="73" max="73" width="11.5703125" style="148" customWidth="1"/>
    <col min="74" max="74" width="16.140625" style="148" customWidth="1"/>
    <col min="75" max="75" width="16.28515625" style="148" customWidth="1"/>
    <col min="76" max="76" width="14.7109375" style="148" customWidth="1"/>
    <col min="77" max="77" width="12.42578125" style="148" customWidth="1"/>
    <col min="78" max="79" width="9.7109375" style="148" hidden="1" customWidth="1"/>
    <col min="80" max="80" width="9.5703125" style="148" hidden="1" customWidth="1"/>
    <col min="81" max="81" width="9.42578125" style="148" hidden="1" customWidth="1"/>
    <col min="82" max="82" width="9.7109375" style="148" hidden="1" customWidth="1"/>
    <col min="83" max="83" width="10.140625" style="148" hidden="1" customWidth="1"/>
    <col min="84" max="84" width="16.140625" style="148" customWidth="1"/>
    <col min="85" max="85" width="16.7109375" style="148" customWidth="1"/>
    <col min="86" max="86" width="10" style="148" customWidth="1"/>
    <col min="87" max="87" width="16.42578125" style="148" customWidth="1"/>
    <col min="88" max="88" width="15.7109375" style="148" customWidth="1"/>
    <col min="89" max="89" width="10.140625" style="148" customWidth="1"/>
    <col min="90" max="90" width="10" style="148" customWidth="1"/>
    <col min="91" max="91" width="9.85546875" style="148" customWidth="1"/>
    <col min="92" max="92" width="11.7109375" style="148" customWidth="1"/>
    <col min="93" max="93" width="18.5703125" style="148" customWidth="1"/>
    <col min="94" max="94" width="16.85546875" style="148" customWidth="1"/>
    <col min="95" max="95" width="10" style="148" customWidth="1"/>
    <col min="96" max="96" width="13.5703125" style="148" customWidth="1"/>
    <col min="97" max="97" width="13.85546875" style="148" customWidth="1"/>
    <col min="98" max="98" width="11.7109375" style="148" customWidth="1"/>
    <col min="99" max="100" width="16.42578125" style="148" customWidth="1"/>
    <col min="101" max="101" width="12.85546875" style="148" customWidth="1"/>
    <col min="102" max="102" width="13.28515625" style="148" customWidth="1"/>
    <col min="103" max="103" width="13.5703125" style="148" customWidth="1"/>
    <col min="104" max="104" width="11.5703125" style="148" customWidth="1"/>
    <col min="105" max="105" width="13.140625" style="148" bestFit="1" customWidth="1"/>
    <col min="106" max="106" width="14.42578125" style="148" customWidth="1"/>
    <col min="107" max="107" width="14.28515625" style="148" customWidth="1"/>
    <col min="108" max="109" width="9.85546875" style="148" hidden="1" customWidth="1"/>
    <col min="110" max="110" width="14.42578125" style="148" hidden="1" customWidth="1"/>
    <col min="111" max="112" width="9.85546875" style="148" hidden="1" customWidth="1"/>
    <col min="113" max="113" width="14.42578125" style="148" hidden="1" customWidth="1"/>
    <col min="114" max="115" width="9.85546875" style="148" hidden="1" customWidth="1"/>
    <col min="116" max="116" width="14.42578125" style="148" hidden="1" customWidth="1"/>
    <col min="117" max="117" width="16.140625" style="148" customWidth="1"/>
    <col min="118" max="118" width="20.28515625" style="148" customWidth="1"/>
    <col min="119" max="119" width="13.140625" style="148" bestFit="1" customWidth="1"/>
    <col min="120" max="120" width="15.85546875" style="148" customWidth="1"/>
    <col min="121" max="121" width="15" style="148" customWidth="1"/>
    <col min="122" max="122" width="13.28515625" style="148" customWidth="1"/>
    <col min="123" max="123" width="16.7109375" style="148" customWidth="1"/>
    <col min="124" max="124" width="16.85546875" style="148" customWidth="1"/>
    <col min="125" max="125" width="12.28515625" style="148" customWidth="1"/>
    <col min="126" max="126" width="12" style="148" customWidth="1"/>
    <col min="127" max="127" width="11.42578125" style="148" customWidth="1"/>
    <col min="128" max="128" width="13.85546875" style="148" customWidth="1"/>
    <col min="129" max="129" width="11.140625" style="148" customWidth="1"/>
    <col min="130" max="130" width="13.7109375" style="148" customWidth="1"/>
    <col min="131" max="131" width="10.140625" style="148" customWidth="1"/>
    <col min="132" max="132" width="16" style="148" customWidth="1"/>
    <col min="133" max="133" width="14.28515625" style="148" customWidth="1"/>
    <col min="134" max="134" width="10.140625" style="148" customWidth="1"/>
    <col min="135" max="135" width="15.140625" style="148" customWidth="1"/>
    <col min="136" max="136" width="18.5703125" style="148" customWidth="1"/>
    <col min="137" max="137" width="11.140625" style="148" customWidth="1"/>
    <col min="138" max="138" width="15.28515625" style="148" customWidth="1"/>
    <col min="139" max="139" width="12.42578125" style="148" customWidth="1"/>
    <col min="140" max="140" width="10.140625" style="148" customWidth="1"/>
    <col min="141" max="141" width="16" style="148" customWidth="1"/>
    <col min="142" max="142" width="14.85546875" style="148" customWidth="1"/>
    <col min="143" max="143" width="10.5703125" style="148" customWidth="1"/>
    <col min="144" max="144" width="17.42578125" style="148" customWidth="1"/>
    <col min="145" max="145" width="15.85546875" style="148" customWidth="1"/>
    <col min="146" max="146" width="8.7109375" style="148" customWidth="1"/>
    <col min="147" max="147" width="14.5703125" style="148" customWidth="1"/>
    <col min="148" max="148" width="14.7109375" style="148" customWidth="1"/>
    <col min="149" max="150" width="10.140625" style="148" customWidth="1"/>
    <col min="151" max="151" width="10.7109375" style="148" customWidth="1"/>
    <col min="152" max="152" width="11.42578125" style="148" customWidth="1"/>
    <col min="153" max="153" width="12" style="148" customWidth="1"/>
    <col min="154" max="154" width="12.5703125" style="148" customWidth="1"/>
    <col min="155" max="155" width="11" style="148" customWidth="1"/>
    <col min="156" max="156" width="9.85546875" style="148" customWidth="1"/>
    <col min="157" max="157" width="9" style="148" customWidth="1"/>
    <col min="158" max="158" width="11.28515625" style="148" customWidth="1"/>
    <col min="159" max="159" width="17.85546875" style="148" customWidth="1"/>
    <col min="160" max="160" width="15.5703125" style="148" customWidth="1"/>
    <col min="161" max="161" width="12.7109375" style="148" customWidth="1"/>
    <col min="162" max="162" width="14.85546875" style="148" customWidth="1"/>
    <col min="163" max="16384" width="9.140625" style="148"/>
  </cols>
  <sheetData>
    <row r="1" spans="1:165" ht="18" customHeight="1" x14ac:dyDescent="0.2">
      <c r="AD1" s="579" t="s">
        <v>130</v>
      </c>
      <c r="AE1" s="579"/>
      <c r="AF1" s="579"/>
      <c r="AG1" s="151"/>
      <c r="AH1" s="151"/>
      <c r="AI1" s="151"/>
      <c r="AJ1" s="574"/>
      <c r="AK1" s="574"/>
      <c r="AL1" s="574"/>
      <c r="AM1" s="152"/>
      <c r="AN1" s="152"/>
      <c r="AO1" s="152"/>
      <c r="AP1" s="152"/>
      <c r="AQ1" s="152"/>
      <c r="AR1" s="152"/>
    </row>
    <row r="2" spans="1:165" ht="19.5" customHeight="1" x14ac:dyDescent="0.2">
      <c r="AD2" s="152" t="s">
        <v>131</v>
      </c>
      <c r="AE2" s="152"/>
      <c r="AF2" s="152"/>
      <c r="AG2" s="150"/>
      <c r="AH2" s="150"/>
      <c r="AI2" s="150"/>
      <c r="AJ2" s="574"/>
      <c r="AK2" s="574"/>
      <c r="AL2" s="574"/>
      <c r="AM2" s="152"/>
      <c r="AN2" s="152"/>
      <c r="AO2" s="152"/>
      <c r="AP2" s="152"/>
      <c r="AQ2" s="152"/>
      <c r="AR2" s="152"/>
    </row>
    <row r="3" spans="1:165" ht="30.75" customHeight="1" x14ac:dyDescent="0.25">
      <c r="A3" s="153"/>
      <c r="B3" s="340"/>
      <c r="C3" s="340"/>
      <c r="D3" s="341"/>
      <c r="E3" s="340"/>
      <c r="F3" s="340"/>
      <c r="G3" s="340"/>
      <c r="H3" s="340"/>
      <c r="I3" s="340"/>
      <c r="J3" s="340"/>
      <c r="K3" s="340"/>
      <c r="L3" s="340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584" t="s">
        <v>132</v>
      </c>
      <c r="AE3" s="584"/>
      <c r="AF3" s="584"/>
      <c r="AG3" s="153"/>
      <c r="AH3" s="153"/>
      <c r="AI3" s="153"/>
      <c r="AJ3" s="578"/>
      <c r="AK3" s="578"/>
      <c r="AL3" s="578"/>
      <c r="AM3" s="154"/>
      <c r="AN3" s="154"/>
      <c r="AO3" s="154"/>
      <c r="AP3" s="154"/>
      <c r="AQ3" s="154"/>
      <c r="AR3" s="154"/>
      <c r="AS3" s="153"/>
      <c r="AT3" s="153"/>
      <c r="AU3" s="153"/>
      <c r="AV3" s="153"/>
      <c r="AW3" s="153"/>
      <c r="AX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</row>
    <row r="4" spans="1:165" ht="24" customHeight="1" x14ac:dyDescent="0.2">
      <c r="B4" s="582" t="s">
        <v>133</v>
      </c>
      <c r="C4" s="582"/>
      <c r="D4" s="582"/>
      <c r="E4" s="582"/>
      <c r="F4" s="582"/>
      <c r="G4" s="582"/>
      <c r="H4" s="582"/>
      <c r="I4" s="582"/>
      <c r="J4" s="582"/>
      <c r="K4" s="582"/>
      <c r="L4" s="582"/>
      <c r="M4" s="582"/>
      <c r="N4" s="582"/>
      <c r="O4" s="582"/>
      <c r="P4" s="582"/>
      <c r="Q4" s="582"/>
      <c r="R4" s="582"/>
      <c r="S4" s="582"/>
      <c r="T4" s="582"/>
      <c r="U4" s="582"/>
      <c r="V4" s="582"/>
      <c r="W4" s="582"/>
      <c r="X4" s="582"/>
      <c r="Y4" s="582"/>
      <c r="Z4" s="582"/>
      <c r="AA4" s="582"/>
      <c r="AB4" s="582"/>
      <c r="AC4" s="582"/>
      <c r="AD4" s="582"/>
      <c r="AE4" s="582"/>
      <c r="AF4" s="582"/>
      <c r="AG4" s="155"/>
      <c r="AH4" s="155"/>
      <c r="AI4" s="155"/>
      <c r="AJ4" s="155"/>
      <c r="AK4" s="155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</row>
    <row r="5" spans="1:165" ht="20.25" customHeight="1" x14ac:dyDescent="0.2">
      <c r="B5" s="580" t="s">
        <v>425</v>
      </c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0"/>
      <c r="AG5" s="156"/>
      <c r="AH5" s="156"/>
      <c r="AI5" s="156"/>
      <c r="AJ5" s="156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</row>
    <row r="6" spans="1:165" ht="15" customHeight="1" x14ac:dyDescent="0.25">
      <c r="A6" s="153"/>
      <c r="B6" s="343"/>
      <c r="C6" s="344"/>
      <c r="D6" s="345"/>
      <c r="E6" s="343"/>
      <c r="F6" s="343"/>
      <c r="G6" s="346"/>
      <c r="H6" s="346"/>
      <c r="I6" s="346"/>
      <c r="J6" s="346"/>
      <c r="K6" s="346"/>
      <c r="L6" s="581"/>
      <c r="M6" s="581"/>
      <c r="N6" s="581"/>
      <c r="O6" s="581"/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  <c r="AA6" s="581"/>
      <c r="AB6" s="581"/>
      <c r="AC6" s="581"/>
      <c r="AD6" s="581"/>
      <c r="AE6" s="343"/>
      <c r="AF6" s="346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FC6" s="153"/>
      <c r="FD6" s="153"/>
      <c r="FE6" s="153"/>
    </row>
    <row r="7" spans="1:165" s="157" customFormat="1" ht="15" customHeight="1" x14ac:dyDescent="0.2">
      <c r="A7" s="573" t="s">
        <v>134</v>
      </c>
      <c r="B7" s="573" t="s">
        <v>135</v>
      </c>
      <c r="C7" s="564" t="s">
        <v>136</v>
      </c>
      <c r="D7" s="565"/>
      <c r="E7" s="566"/>
      <c r="F7" s="270" t="s">
        <v>137</v>
      </c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271"/>
      <c r="BE7" s="271"/>
      <c r="BF7" s="271"/>
      <c r="BG7" s="271"/>
      <c r="BH7" s="271"/>
      <c r="BI7" s="271"/>
      <c r="BJ7" s="271"/>
      <c r="BK7" s="271"/>
      <c r="BL7" s="271"/>
      <c r="BM7" s="271"/>
      <c r="BN7" s="271"/>
      <c r="BO7" s="271"/>
      <c r="BP7" s="271"/>
      <c r="BQ7" s="271"/>
      <c r="BR7" s="271"/>
      <c r="BS7" s="271"/>
      <c r="BT7" s="271"/>
      <c r="BU7" s="271"/>
      <c r="BV7" s="271"/>
      <c r="BW7" s="271"/>
      <c r="BX7" s="271"/>
      <c r="BY7" s="271"/>
      <c r="BZ7" s="271"/>
      <c r="CA7" s="271"/>
      <c r="CB7" s="271"/>
      <c r="CC7" s="271"/>
      <c r="CD7" s="271"/>
      <c r="CE7" s="271"/>
      <c r="CF7" s="271"/>
      <c r="CG7" s="271"/>
      <c r="CH7" s="271"/>
      <c r="CI7" s="271"/>
      <c r="CJ7" s="271"/>
      <c r="CK7" s="271"/>
      <c r="CL7" s="271"/>
      <c r="CM7" s="271"/>
      <c r="CN7" s="271"/>
      <c r="CO7" s="271"/>
      <c r="CP7" s="271"/>
      <c r="CQ7" s="271"/>
      <c r="CR7" s="271"/>
      <c r="CS7" s="271"/>
      <c r="CT7" s="271"/>
      <c r="CU7" s="271"/>
      <c r="CV7" s="271"/>
      <c r="CW7" s="271"/>
      <c r="CX7" s="271"/>
      <c r="CY7" s="271"/>
      <c r="CZ7" s="271"/>
      <c r="DA7" s="271"/>
      <c r="DB7" s="271"/>
      <c r="DC7" s="271"/>
      <c r="DD7" s="271"/>
      <c r="DE7" s="271"/>
      <c r="DF7" s="271"/>
      <c r="DG7" s="271"/>
      <c r="DH7" s="271"/>
      <c r="DI7" s="272"/>
      <c r="DJ7" s="271"/>
      <c r="DK7" s="271"/>
      <c r="DL7" s="272"/>
      <c r="DM7" s="564" t="s">
        <v>138</v>
      </c>
      <c r="DN7" s="565"/>
      <c r="DO7" s="566"/>
      <c r="DP7" s="564"/>
      <c r="DQ7" s="565"/>
      <c r="DR7" s="565"/>
      <c r="DS7" s="565"/>
      <c r="DT7" s="565"/>
      <c r="DU7" s="565"/>
      <c r="DV7" s="565"/>
      <c r="DW7" s="565"/>
      <c r="DX7" s="565"/>
      <c r="DY7" s="565"/>
      <c r="DZ7" s="565"/>
      <c r="EA7" s="565"/>
      <c r="EB7" s="565"/>
      <c r="EC7" s="565"/>
      <c r="ED7" s="565"/>
      <c r="EE7" s="565"/>
      <c r="EF7" s="565"/>
      <c r="EG7" s="565"/>
      <c r="EH7" s="565"/>
      <c r="EI7" s="565"/>
      <c r="EJ7" s="565"/>
      <c r="EK7" s="565"/>
      <c r="EL7" s="565"/>
      <c r="EM7" s="565"/>
      <c r="EN7" s="565"/>
      <c r="EO7" s="565"/>
      <c r="EP7" s="565"/>
      <c r="EQ7" s="565"/>
      <c r="ER7" s="565"/>
      <c r="ES7" s="565"/>
      <c r="ET7" s="565"/>
      <c r="EU7" s="565"/>
      <c r="EV7" s="565"/>
      <c r="EW7" s="565"/>
      <c r="EX7" s="565"/>
      <c r="EY7" s="565"/>
      <c r="EZ7" s="565"/>
      <c r="FA7" s="565"/>
      <c r="FB7" s="566"/>
      <c r="FC7" s="564" t="s">
        <v>139</v>
      </c>
      <c r="FD7" s="565"/>
      <c r="FE7" s="566"/>
    </row>
    <row r="8" spans="1:165" s="157" customFormat="1" ht="15" customHeight="1" x14ac:dyDescent="0.2">
      <c r="A8" s="573"/>
      <c r="B8" s="573"/>
      <c r="C8" s="567"/>
      <c r="D8" s="568"/>
      <c r="E8" s="569"/>
      <c r="F8" s="567" t="s">
        <v>140</v>
      </c>
      <c r="G8" s="568"/>
      <c r="H8" s="569"/>
      <c r="I8" s="405"/>
      <c r="J8" s="405"/>
      <c r="K8" s="405"/>
      <c r="L8" s="575" t="s">
        <v>141</v>
      </c>
      <c r="M8" s="576"/>
      <c r="N8" s="576"/>
      <c r="O8" s="576"/>
      <c r="P8" s="576"/>
      <c r="Q8" s="576"/>
      <c r="R8" s="576"/>
      <c r="S8" s="576"/>
      <c r="T8" s="576"/>
      <c r="U8" s="576"/>
      <c r="V8" s="576"/>
      <c r="W8" s="576"/>
      <c r="X8" s="576"/>
      <c r="Y8" s="576"/>
      <c r="Z8" s="576"/>
      <c r="AA8" s="576"/>
      <c r="AB8" s="576"/>
      <c r="AC8" s="576"/>
      <c r="AD8" s="576"/>
      <c r="AE8" s="576"/>
      <c r="AF8" s="576"/>
      <c r="AG8" s="576"/>
      <c r="AH8" s="576"/>
      <c r="AI8" s="576"/>
      <c r="AJ8" s="576"/>
      <c r="AK8" s="576"/>
      <c r="AL8" s="576"/>
      <c r="AM8" s="576"/>
      <c r="AN8" s="576"/>
      <c r="AO8" s="576"/>
      <c r="AP8" s="576"/>
      <c r="AQ8" s="576"/>
      <c r="AR8" s="576"/>
      <c r="AS8" s="576"/>
      <c r="AT8" s="576"/>
      <c r="AU8" s="576"/>
      <c r="AV8" s="576"/>
      <c r="AW8" s="576"/>
      <c r="AX8" s="576"/>
      <c r="AY8" s="576"/>
      <c r="AZ8" s="576"/>
      <c r="BA8" s="576"/>
      <c r="BB8" s="576"/>
      <c r="BC8" s="576"/>
      <c r="BD8" s="577"/>
      <c r="BE8" s="273"/>
      <c r="BF8" s="273"/>
      <c r="BG8" s="273"/>
      <c r="BH8" s="273"/>
      <c r="BI8" s="273"/>
      <c r="BJ8" s="273"/>
      <c r="BK8" s="273"/>
      <c r="BL8" s="273"/>
      <c r="BM8" s="273"/>
      <c r="BN8" s="273"/>
      <c r="BO8" s="273"/>
      <c r="BP8" s="273"/>
      <c r="BQ8" s="273"/>
      <c r="BR8" s="273"/>
      <c r="BS8" s="273"/>
      <c r="BT8" s="273"/>
      <c r="BU8" s="273"/>
      <c r="BV8" s="273"/>
      <c r="BW8" s="273"/>
      <c r="BX8" s="273"/>
      <c r="BY8" s="274"/>
      <c r="BZ8" s="275"/>
      <c r="CA8" s="275"/>
      <c r="CB8" s="275"/>
      <c r="CC8" s="276"/>
      <c r="CD8" s="276"/>
      <c r="CE8" s="276"/>
      <c r="CF8" s="573" t="s">
        <v>142</v>
      </c>
      <c r="CG8" s="573"/>
      <c r="CH8" s="573"/>
      <c r="CI8" s="570" t="s">
        <v>141</v>
      </c>
      <c r="CJ8" s="571"/>
      <c r="CK8" s="571"/>
      <c r="CL8" s="571"/>
      <c r="CM8" s="571"/>
      <c r="CN8" s="571"/>
      <c r="CO8" s="571"/>
      <c r="CP8" s="571"/>
      <c r="CQ8" s="571"/>
      <c r="CR8" s="571"/>
      <c r="CS8" s="571"/>
      <c r="CT8" s="571"/>
      <c r="CU8" s="277"/>
      <c r="CV8" s="277"/>
      <c r="CW8" s="277"/>
      <c r="CX8" s="277"/>
      <c r="CY8" s="277"/>
      <c r="CZ8" s="277"/>
      <c r="DA8" s="278"/>
      <c r="DB8" s="278"/>
      <c r="DC8" s="279"/>
      <c r="DD8" s="567" t="s">
        <v>143</v>
      </c>
      <c r="DE8" s="568"/>
      <c r="DF8" s="569"/>
      <c r="DG8" s="561"/>
      <c r="DH8" s="562"/>
      <c r="DI8" s="563"/>
      <c r="DJ8" s="561"/>
      <c r="DK8" s="562"/>
      <c r="DL8" s="563"/>
      <c r="DM8" s="567"/>
      <c r="DN8" s="568"/>
      <c r="DO8" s="569"/>
      <c r="DP8" s="567" t="s">
        <v>141</v>
      </c>
      <c r="DQ8" s="568"/>
      <c r="DR8" s="568"/>
      <c r="DS8" s="568"/>
      <c r="DT8" s="568"/>
      <c r="DU8" s="568"/>
      <c r="DV8" s="568"/>
      <c r="DW8" s="568"/>
      <c r="DX8" s="568"/>
      <c r="DY8" s="568"/>
      <c r="DZ8" s="568"/>
      <c r="EA8" s="568"/>
      <c r="EB8" s="568"/>
      <c r="EC8" s="568"/>
      <c r="ED8" s="568"/>
      <c r="EE8" s="568"/>
      <c r="EF8" s="568"/>
      <c r="EG8" s="568"/>
      <c r="EH8" s="568"/>
      <c r="EI8" s="568"/>
      <c r="EJ8" s="568"/>
      <c r="EK8" s="568"/>
      <c r="EL8" s="568"/>
      <c r="EM8" s="568"/>
      <c r="EN8" s="568"/>
      <c r="EO8" s="568"/>
      <c r="EP8" s="568"/>
      <c r="EQ8" s="568"/>
      <c r="ER8" s="568"/>
      <c r="ES8" s="568"/>
      <c r="ET8" s="568"/>
      <c r="EU8" s="568"/>
      <c r="EV8" s="568"/>
      <c r="EW8" s="568"/>
      <c r="EX8" s="568"/>
      <c r="EY8" s="568"/>
      <c r="EZ8" s="568"/>
      <c r="FA8" s="568"/>
      <c r="FB8" s="569"/>
      <c r="FC8" s="567"/>
      <c r="FD8" s="568"/>
      <c r="FE8" s="569"/>
    </row>
    <row r="9" spans="1:165" s="157" customFormat="1" ht="15" customHeight="1" x14ac:dyDescent="0.2">
      <c r="A9" s="573"/>
      <c r="B9" s="573"/>
      <c r="C9" s="567"/>
      <c r="D9" s="568"/>
      <c r="E9" s="569"/>
      <c r="F9" s="567"/>
      <c r="G9" s="568"/>
      <c r="H9" s="569"/>
      <c r="I9" s="405"/>
      <c r="J9" s="405"/>
      <c r="K9" s="405"/>
      <c r="L9" s="564" t="s">
        <v>144</v>
      </c>
      <c r="M9" s="565"/>
      <c r="N9" s="566"/>
      <c r="O9" s="412"/>
      <c r="P9" s="412"/>
      <c r="Q9" s="412"/>
      <c r="R9" s="564" t="s">
        <v>271</v>
      </c>
      <c r="S9" s="565"/>
      <c r="T9" s="566"/>
      <c r="U9" s="564" t="s">
        <v>274</v>
      </c>
      <c r="V9" s="565"/>
      <c r="W9" s="566"/>
      <c r="X9" s="564" t="s">
        <v>272</v>
      </c>
      <c r="Y9" s="565"/>
      <c r="Z9" s="566"/>
      <c r="AA9" s="564" t="s">
        <v>273</v>
      </c>
      <c r="AB9" s="565"/>
      <c r="AC9" s="566"/>
      <c r="AD9" s="564" t="s">
        <v>145</v>
      </c>
      <c r="AE9" s="565"/>
      <c r="AF9" s="566"/>
      <c r="AG9" s="564" t="s">
        <v>146</v>
      </c>
      <c r="AH9" s="565"/>
      <c r="AI9" s="566"/>
      <c r="AJ9" s="564" t="s">
        <v>147</v>
      </c>
      <c r="AK9" s="565"/>
      <c r="AL9" s="566"/>
      <c r="AM9" s="573" t="s">
        <v>148</v>
      </c>
      <c r="AN9" s="573"/>
      <c r="AO9" s="573"/>
      <c r="AP9" s="564" t="s">
        <v>239</v>
      </c>
      <c r="AQ9" s="565"/>
      <c r="AR9" s="566"/>
      <c r="AS9" s="564" t="s">
        <v>149</v>
      </c>
      <c r="AT9" s="565"/>
      <c r="AU9" s="566"/>
      <c r="AV9" s="564" t="s">
        <v>318</v>
      </c>
      <c r="AW9" s="565"/>
      <c r="AX9" s="566"/>
      <c r="AY9" s="564" t="s">
        <v>150</v>
      </c>
      <c r="AZ9" s="565"/>
      <c r="BA9" s="566"/>
      <c r="BB9" s="564" t="s">
        <v>151</v>
      </c>
      <c r="BC9" s="565"/>
      <c r="BD9" s="566"/>
      <c r="BE9" s="564" t="s">
        <v>241</v>
      </c>
      <c r="BF9" s="565"/>
      <c r="BG9" s="566"/>
      <c r="BH9" s="564" t="s">
        <v>328</v>
      </c>
      <c r="BI9" s="565"/>
      <c r="BJ9" s="566"/>
      <c r="BK9" s="564" t="s">
        <v>389</v>
      </c>
      <c r="BL9" s="565"/>
      <c r="BM9" s="566"/>
      <c r="BN9" s="564" t="s">
        <v>152</v>
      </c>
      <c r="BO9" s="565"/>
      <c r="BP9" s="566"/>
      <c r="BQ9" s="564" t="s">
        <v>264</v>
      </c>
      <c r="BR9" s="565"/>
      <c r="BS9" s="566"/>
      <c r="BT9" s="564" t="s">
        <v>237</v>
      </c>
      <c r="BU9" s="565"/>
      <c r="BV9" s="566"/>
      <c r="BW9" s="564" t="s">
        <v>153</v>
      </c>
      <c r="BX9" s="565"/>
      <c r="BY9" s="566"/>
      <c r="BZ9" s="564" t="s">
        <v>154</v>
      </c>
      <c r="CA9" s="565"/>
      <c r="CB9" s="566"/>
      <c r="CC9" s="567" t="s">
        <v>155</v>
      </c>
      <c r="CD9" s="568"/>
      <c r="CE9" s="568"/>
      <c r="CF9" s="573"/>
      <c r="CG9" s="573"/>
      <c r="CH9" s="573"/>
      <c r="CI9" s="564" t="s">
        <v>319</v>
      </c>
      <c r="CJ9" s="565"/>
      <c r="CK9" s="566"/>
      <c r="CL9" s="564" t="s">
        <v>320</v>
      </c>
      <c r="CM9" s="565"/>
      <c r="CN9" s="566"/>
      <c r="CO9" s="564" t="s">
        <v>156</v>
      </c>
      <c r="CP9" s="565"/>
      <c r="CQ9" s="566"/>
      <c r="CR9" s="564" t="s">
        <v>157</v>
      </c>
      <c r="CS9" s="565"/>
      <c r="CT9" s="566"/>
      <c r="CU9" s="564" t="s">
        <v>21</v>
      </c>
      <c r="CV9" s="565"/>
      <c r="CW9" s="566"/>
      <c r="CX9" s="564" t="s">
        <v>281</v>
      </c>
      <c r="CY9" s="565"/>
      <c r="CZ9" s="566"/>
      <c r="DA9" s="564" t="s">
        <v>321</v>
      </c>
      <c r="DB9" s="565"/>
      <c r="DC9" s="566"/>
      <c r="DD9" s="567"/>
      <c r="DE9" s="568"/>
      <c r="DF9" s="569"/>
      <c r="DG9" s="564" t="s">
        <v>252</v>
      </c>
      <c r="DH9" s="565"/>
      <c r="DI9" s="566"/>
      <c r="DJ9" s="573" t="s">
        <v>158</v>
      </c>
      <c r="DK9" s="573"/>
      <c r="DL9" s="573"/>
      <c r="DM9" s="567"/>
      <c r="DN9" s="568"/>
      <c r="DO9" s="569"/>
      <c r="DP9" s="593" t="s">
        <v>159</v>
      </c>
      <c r="DQ9" s="594"/>
      <c r="DR9" s="595"/>
      <c r="DS9" s="587" t="s">
        <v>137</v>
      </c>
      <c r="DT9" s="588"/>
      <c r="DU9" s="588"/>
      <c r="DV9" s="588"/>
      <c r="DW9" s="588"/>
      <c r="DX9" s="588"/>
      <c r="DY9" s="588"/>
      <c r="DZ9" s="588"/>
      <c r="EA9" s="588"/>
      <c r="EB9" s="588"/>
      <c r="EC9" s="588"/>
      <c r="ED9" s="589"/>
      <c r="EE9" s="593" t="s">
        <v>160</v>
      </c>
      <c r="EF9" s="594"/>
      <c r="EG9" s="595"/>
      <c r="EH9" s="593" t="s">
        <v>161</v>
      </c>
      <c r="EI9" s="594"/>
      <c r="EJ9" s="595"/>
      <c r="EK9" s="593" t="s">
        <v>162</v>
      </c>
      <c r="EL9" s="594"/>
      <c r="EM9" s="595"/>
      <c r="EN9" s="593" t="s">
        <v>163</v>
      </c>
      <c r="EO9" s="594"/>
      <c r="EP9" s="595"/>
      <c r="EQ9" s="564" t="s">
        <v>275</v>
      </c>
      <c r="ER9" s="565"/>
      <c r="ES9" s="566"/>
      <c r="ET9" s="564" t="s">
        <v>164</v>
      </c>
      <c r="EU9" s="565"/>
      <c r="EV9" s="566"/>
      <c r="EW9" s="564" t="s">
        <v>306</v>
      </c>
      <c r="EX9" s="565"/>
      <c r="EY9" s="566"/>
      <c r="EZ9" s="573" t="s">
        <v>277</v>
      </c>
      <c r="FA9" s="573"/>
      <c r="FB9" s="573"/>
      <c r="FC9" s="567"/>
      <c r="FD9" s="568"/>
      <c r="FE9" s="569"/>
    </row>
    <row r="10" spans="1:165" s="157" customFormat="1" ht="62.25" customHeight="1" x14ac:dyDescent="0.2">
      <c r="A10" s="573"/>
      <c r="B10" s="573"/>
      <c r="C10" s="567"/>
      <c r="D10" s="568"/>
      <c r="E10" s="569"/>
      <c r="F10" s="567"/>
      <c r="G10" s="568"/>
      <c r="H10" s="569"/>
      <c r="I10" s="405"/>
      <c r="J10" s="405"/>
      <c r="K10" s="405"/>
      <c r="L10" s="567"/>
      <c r="M10" s="568"/>
      <c r="N10" s="569"/>
      <c r="O10" s="413"/>
      <c r="P10" s="413"/>
      <c r="Q10" s="413"/>
      <c r="R10" s="567"/>
      <c r="S10" s="568"/>
      <c r="T10" s="569"/>
      <c r="U10" s="567"/>
      <c r="V10" s="568"/>
      <c r="W10" s="569"/>
      <c r="X10" s="567"/>
      <c r="Y10" s="568"/>
      <c r="Z10" s="569"/>
      <c r="AA10" s="567"/>
      <c r="AB10" s="568"/>
      <c r="AC10" s="569"/>
      <c r="AD10" s="567"/>
      <c r="AE10" s="568"/>
      <c r="AF10" s="569"/>
      <c r="AG10" s="567"/>
      <c r="AH10" s="568"/>
      <c r="AI10" s="569"/>
      <c r="AJ10" s="567"/>
      <c r="AK10" s="568"/>
      <c r="AL10" s="569"/>
      <c r="AM10" s="573"/>
      <c r="AN10" s="573"/>
      <c r="AO10" s="573"/>
      <c r="AP10" s="567"/>
      <c r="AQ10" s="568"/>
      <c r="AR10" s="569"/>
      <c r="AS10" s="567"/>
      <c r="AT10" s="568"/>
      <c r="AU10" s="569"/>
      <c r="AV10" s="567"/>
      <c r="AW10" s="568"/>
      <c r="AX10" s="569"/>
      <c r="AY10" s="567"/>
      <c r="AZ10" s="568"/>
      <c r="BA10" s="569"/>
      <c r="BB10" s="567"/>
      <c r="BC10" s="568"/>
      <c r="BD10" s="569"/>
      <c r="BE10" s="567"/>
      <c r="BF10" s="568"/>
      <c r="BG10" s="569"/>
      <c r="BH10" s="567"/>
      <c r="BI10" s="568"/>
      <c r="BJ10" s="569"/>
      <c r="BK10" s="567"/>
      <c r="BL10" s="568"/>
      <c r="BM10" s="569"/>
      <c r="BN10" s="567"/>
      <c r="BO10" s="568"/>
      <c r="BP10" s="569"/>
      <c r="BQ10" s="567"/>
      <c r="BR10" s="568"/>
      <c r="BS10" s="569"/>
      <c r="BT10" s="567"/>
      <c r="BU10" s="568"/>
      <c r="BV10" s="569"/>
      <c r="BW10" s="567"/>
      <c r="BX10" s="568"/>
      <c r="BY10" s="569"/>
      <c r="BZ10" s="567"/>
      <c r="CA10" s="568"/>
      <c r="CB10" s="569"/>
      <c r="CC10" s="567"/>
      <c r="CD10" s="568"/>
      <c r="CE10" s="568"/>
      <c r="CF10" s="573"/>
      <c r="CG10" s="573"/>
      <c r="CH10" s="573"/>
      <c r="CI10" s="567"/>
      <c r="CJ10" s="568"/>
      <c r="CK10" s="569"/>
      <c r="CL10" s="567"/>
      <c r="CM10" s="568"/>
      <c r="CN10" s="569"/>
      <c r="CO10" s="567"/>
      <c r="CP10" s="568"/>
      <c r="CQ10" s="569"/>
      <c r="CR10" s="567"/>
      <c r="CS10" s="568"/>
      <c r="CT10" s="569"/>
      <c r="CU10" s="567"/>
      <c r="CV10" s="568"/>
      <c r="CW10" s="569"/>
      <c r="CX10" s="567"/>
      <c r="CY10" s="568"/>
      <c r="CZ10" s="569"/>
      <c r="DA10" s="567"/>
      <c r="DB10" s="568"/>
      <c r="DC10" s="569"/>
      <c r="DD10" s="567"/>
      <c r="DE10" s="568"/>
      <c r="DF10" s="569"/>
      <c r="DG10" s="567"/>
      <c r="DH10" s="568"/>
      <c r="DI10" s="569"/>
      <c r="DJ10" s="573"/>
      <c r="DK10" s="573"/>
      <c r="DL10" s="573"/>
      <c r="DM10" s="567"/>
      <c r="DN10" s="568"/>
      <c r="DO10" s="569"/>
      <c r="DP10" s="596"/>
      <c r="DQ10" s="597"/>
      <c r="DR10" s="598"/>
      <c r="DS10" s="280"/>
      <c r="DT10" s="281"/>
      <c r="DU10" s="281"/>
      <c r="DV10" s="282"/>
      <c r="DW10" s="282"/>
      <c r="DX10" s="282"/>
      <c r="DY10" s="281"/>
      <c r="DZ10" s="281"/>
      <c r="EA10" s="281"/>
      <c r="EB10" s="281"/>
      <c r="EC10" s="281"/>
      <c r="ED10" s="283"/>
      <c r="EE10" s="596"/>
      <c r="EF10" s="597"/>
      <c r="EG10" s="598"/>
      <c r="EH10" s="596"/>
      <c r="EI10" s="597"/>
      <c r="EJ10" s="598"/>
      <c r="EK10" s="596"/>
      <c r="EL10" s="597"/>
      <c r="EM10" s="598"/>
      <c r="EN10" s="596"/>
      <c r="EO10" s="597"/>
      <c r="EP10" s="598"/>
      <c r="EQ10" s="567"/>
      <c r="ER10" s="568"/>
      <c r="ES10" s="569"/>
      <c r="ET10" s="567"/>
      <c r="EU10" s="568"/>
      <c r="EV10" s="569"/>
      <c r="EW10" s="567"/>
      <c r="EX10" s="568"/>
      <c r="EY10" s="569"/>
      <c r="EZ10" s="573"/>
      <c r="FA10" s="573"/>
      <c r="FB10" s="573"/>
      <c r="FC10" s="567"/>
      <c r="FD10" s="568"/>
      <c r="FE10" s="569"/>
    </row>
    <row r="11" spans="1:165" s="157" customFormat="1" ht="109.5" customHeight="1" x14ac:dyDescent="0.2">
      <c r="A11" s="573"/>
      <c r="B11" s="573"/>
      <c r="C11" s="570"/>
      <c r="D11" s="571"/>
      <c r="E11" s="583"/>
      <c r="F11" s="570"/>
      <c r="G11" s="571"/>
      <c r="H11" s="572"/>
      <c r="I11" s="406"/>
      <c r="J11" s="406"/>
      <c r="K11" s="406"/>
      <c r="L11" s="570"/>
      <c r="M11" s="571"/>
      <c r="N11" s="572"/>
      <c r="O11" s="414"/>
      <c r="P11" s="414"/>
      <c r="Q11" s="414"/>
      <c r="R11" s="570"/>
      <c r="S11" s="571"/>
      <c r="T11" s="572"/>
      <c r="U11" s="570"/>
      <c r="V11" s="571"/>
      <c r="W11" s="572"/>
      <c r="X11" s="570"/>
      <c r="Y11" s="571"/>
      <c r="Z11" s="572"/>
      <c r="AA11" s="570"/>
      <c r="AB11" s="571"/>
      <c r="AC11" s="572"/>
      <c r="AD11" s="570"/>
      <c r="AE11" s="571"/>
      <c r="AF11" s="572"/>
      <c r="AG11" s="570"/>
      <c r="AH11" s="571"/>
      <c r="AI11" s="572"/>
      <c r="AJ11" s="570"/>
      <c r="AK11" s="571"/>
      <c r="AL11" s="572"/>
      <c r="AM11" s="573"/>
      <c r="AN11" s="573"/>
      <c r="AO11" s="573"/>
      <c r="AP11" s="570"/>
      <c r="AQ11" s="571"/>
      <c r="AR11" s="572"/>
      <c r="AS11" s="570"/>
      <c r="AT11" s="571"/>
      <c r="AU11" s="572"/>
      <c r="AV11" s="570"/>
      <c r="AW11" s="571"/>
      <c r="AX11" s="572"/>
      <c r="AY11" s="570"/>
      <c r="AZ11" s="571"/>
      <c r="BA11" s="572"/>
      <c r="BB11" s="570"/>
      <c r="BC11" s="571"/>
      <c r="BD11" s="572"/>
      <c r="BE11" s="570"/>
      <c r="BF11" s="571"/>
      <c r="BG11" s="572"/>
      <c r="BH11" s="570"/>
      <c r="BI11" s="571"/>
      <c r="BJ11" s="572"/>
      <c r="BK11" s="570"/>
      <c r="BL11" s="571"/>
      <c r="BM11" s="572"/>
      <c r="BN11" s="570"/>
      <c r="BO11" s="571"/>
      <c r="BP11" s="572"/>
      <c r="BQ11" s="570"/>
      <c r="BR11" s="571"/>
      <c r="BS11" s="572"/>
      <c r="BT11" s="570"/>
      <c r="BU11" s="571"/>
      <c r="BV11" s="572"/>
      <c r="BW11" s="570"/>
      <c r="BX11" s="571"/>
      <c r="BY11" s="572"/>
      <c r="BZ11" s="570"/>
      <c r="CA11" s="571"/>
      <c r="CB11" s="572"/>
      <c r="CC11" s="570"/>
      <c r="CD11" s="571"/>
      <c r="CE11" s="571"/>
      <c r="CF11" s="573"/>
      <c r="CG11" s="573"/>
      <c r="CH11" s="573"/>
      <c r="CI11" s="570"/>
      <c r="CJ11" s="571"/>
      <c r="CK11" s="572"/>
      <c r="CL11" s="570"/>
      <c r="CM11" s="571"/>
      <c r="CN11" s="572"/>
      <c r="CO11" s="570"/>
      <c r="CP11" s="571"/>
      <c r="CQ11" s="572"/>
      <c r="CR11" s="570"/>
      <c r="CS11" s="571"/>
      <c r="CT11" s="572"/>
      <c r="CU11" s="570"/>
      <c r="CV11" s="571"/>
      <c r="CW11" s="572"/>
      <c r="CX11" s="570"/>
      <c r="CY11" s="571"/>
      <c r="CZ11" s="572"/>
      <c r="DA11" s="570"/>
      <c r="DB11" s="571"/>
      <c r="DC11" s="572"/>
      <c r="DD11" s="570"/>
      <c r="DE11" s="571"/>
      <c r="DF11" s="572"/>
      <c r="DG11" s="570"/>
      <c r="DH11" s="571"/>
      <c r="DI11" s="572"/>
      <c r="DJ11" s="573"/>
      <c r="DK11" s="573"/>
      <c r="DL11" s="573"/>
      <c r="DM11" s="570"/>
      <c r="DN11" s="571"/>
      <c r="DO11" s="572"/>
      <c r="DP11" s="590"/>
      <c r="DQ11" s="591"/>
      <c r="DR11" s="592"/>
      <c r="DS11" s="590" t="s">
        <v>165</v>
      </c>
      <c r="DT11" s="591"/>
      <c r="DU11" s="592"/>
      <c r="DV11" s="587" t="s">
        <v>166</v>
      </c>
      <c r="DW11" s="588"/>
      <c r="DX11" s="589"/>
      <c r="DY11" s="590" t="s">
        <v>167</v>
      </c>
      <c r="DZ11" s="591"/>
      <c r="EA11" s="592"/>
      <c r="EB11" s="590" t="s">
        <v>234</v>
      </c>
      <c r="EC11" s="591"/>
      <c r="ED11" s="592"/>
      <c r="EE11" s="590"/>
      <c r="EF11" s="591"/>
      <c r="EG11" s="592"/>
      <c r="EH11" s="590"/>
      <c r="EI11" s="591"/>
      <c r="EJ11" s="592"/>
      <c r="EK11" s="590"/>
      <c r="EL11" s="591"/>
      <c r="EM11" s="592"/>
      <c r="EN11" s="590"/>
      <c r="EO11" s="591"/>
      <c r="EP11" s="592"/>
      <c r="EQ11" s="570"/>
      <c r="ER11" s="571"/>
      <c r="ES11" s="572"/>
      <c r="ET11" s="570"/>
      <c r="EU11" s="571"/>
      <c r="EV11" s="572"/>
      <c r="EW11" s="570"/>
      <c r="EX11" s="571"/>
      <c r="EY11" s="572"/>
      <c r="EZ11" s="573"/>
      <c r="FA11" s="573"/>
      <c r="FB11" s="573"/>
      <c r="FC11" s="570"/>
      <c r="FD11" s="571"/>
      <c r="FE11" s="572"/>
      <c r="FG11" s="158"/>
      <c r="FH11" s="158"/>
      <c r="FI11" s="158"/>
    </row>
    <row r="12" spans="1:165" s="157" customFormat="1" ht="42.75" customHeight="1" x14ac:dyDescent="0.2">
      <c r="A12" s="573"/>
      <c r="B12" s="573"/>
      <c r="C12" s="284" t="s">
        <v>168</v>
      </c>
      <c r="D12" s="285" t="s">
        <v>169</v>
      </c>
      <c r="E12" s="284" t="s">
        <v>170</v>
      </c>
      <c r="F12" s="284" t="s">
        <v>168</v>
      </c>
      <c r="G12" s="284" t="s">
        <v>169</v>
      </c>
      <c r="H12" s="284" t="s">
        <v>170</v>
      </c>
      <c r="I12" s="284"/>
      <c r="J12" s="284"/>
      <c r="K12" s="284"/>
      <c r="L12" s="284" t="s">
        <v>168</v>
      </c>
      <c r="M12" s="284" t="s">
        <v>169</v>
      </c>
      <c r="N12" s="284" t="s">
        <v>170</v>
      </c>
      <c r="O12" s="284"/>
      <c r="P12" s="284"/>
      <c r="Q12" s="284"/>
      <c r="R12" s="284" t="s">
        <v>168</v>
      </c>
      <c r="S12" s="284" t="s">
        <v>169</v>
      </c>
      <c r="T12" s="284" t="s">
        <v>170</v>
      </c>
      <c r="U12" s="284" t="s">
        <v>168</v>
      </c>
      <c r="V12" s="284" t="s">
        <v>169</v>
      </c>
      <c r="W12" s="284" t="s">
        <v>170</v>
      </c>
      <c r="X12" s="284" t="s">
        <v>168</v>
      </c>
      <c r="Y12" s="284" t="s">
        <v>169</v>
      </c>
      <c r="Z12" s="284" t="s">
        <v>170</v>
      </c>
      <c r="AA12" s="284" t="s">
        <v>168</v>
      </c>
      <c r="AB12" s="284" t="s">
        <v>169</v>
      </c>
      <c r="AC12" s="284" t="s">
        <v>170</v>
      </c>
      <c r="AD12" s="284" t="s">
        <v>168</v>
      </c>
      <c r="AE12" s="284" t="s">
        <v>169</v>
      </c>
      <c r="AF12" s="284" t="s">
        <v>170</v>
      </c>
      <c r="AG12" s="284" t="s">
        <v>168</v>
      </c>
      <c r="AH12" s="284" t="s">
        <v>169</v>
      </c>
      <c r="AI12" s="284" t="s">
        <v>170</v>
      </c>
      <c r="AJ12" s="284" t="s">
        <v>168</v>
      </c>
      <c r="AK12" s="284" t="s">
        <v>169</v>
      </c>
      <c r="AL12" s="284" t="s">
        <v>170</v>
      </c>
      <c r="AM12" s="284" t="s">
        <v>168</v>
      </c>
      <c r="AN12" s="284" t="s">
        <v>169</v>
      </c>
      <c r="AO12" s="284" t="s">
        <v>170</v>
      </c>
      <c r="AP12" s="284" t="s">
        <v>168</v>
      </c>
      <c r="AQ12" s="284" t="s">
        <v>169</v>
      </c>
      <c r="AR12" s="284" t="s">
        <v>170</v>
      </c>
      <c r="AS12" s="284" t="s">
        <v>168</v>
      </c>
      <c r="AT12" s="284" t="s">
        <v>169</v>
      </c>
      <c r="AU12" s="284" t="s">
        <v>170</v>
      </c>
      <c r="AV12" s="284" t="s">
        <v>168</v>
      </c>
      <c r="AW12" s="284" t="s">
        <v>169</v>
      </c>
      <c r="AX12" s="284" t="s">
        <v>170</v>
      </c>
      <c r="AY12" s="284" t="s">
        <v>168</v>
      </c>
      <c r="AZ12" s="284" t="s">
        <v>169</v>
      </c>
      <c r="BA12" s="284" t="s">
        <v>170</v>
      </c>
      <c r="BB12" s="284" t="s">
        <v>168</v>
      </c>
      <c r="BC12" s="284" t="s">
        <v>169</v>
      </c>
      <c r="BD12" s="284" t="s">
        <v>170</v>
      </c>
      <c r="BE12" s="284" t="s">
        <v>168</v>
      </c>
      <c r="BF12" s="284" t="s">
        <v>169</v>
      </c>
      <c r="BG12" s="284" t="s">
        <v>170</v>
      </c>
      <c r="BH12" s="284"/>
      <c r="BI12" s="284"/>
      <c r="BJ12" s="284"/>
      <c r="BK12" s="284" t="s">
        <v>171</v>
      </c>
      <c r="BL12" s="284" t="s">
        <v>169</v>
      </c>
      <c r="BM12" s="284" t="s">
        <v>170</v>
      </c>
      <c r="BN12" s="284" t="s">
        <v>168</v>
      </c>
      <c r="BO12" s="284" t="s">
        <v>169</v>
      </c>
      <c r="BP12" s="284" t="s">
        <v>170</v>
      </c>
      <c r="BQ12" s="284" t="s">
        <v>168</v>
      </c>
      <c r="BR12" s="284" t="s">
        <v>169</v>
      </c>
      <c r="BS12" s="284" t="s">
        <v>170</v>
      </c>
      <c r="BT12" s="284" t="s">
        <v>171</v>
      </c>
      <c r="BU12" s="284" t="s">
        <v>169</v>
      </c>
      <c r="BV12" s="284" t="s">
        <v>170</v>
      </c>
      <c r="BW12" s="284" t="s">
        <v>171</v>
      </c>
      <c r="BX12" s="284" t="s">
        <v>169</v>
      </c>
      <c r="BY12" s="284" t="s">
        <v>170</v>
      </c>
      <c r="BZ12" s="284" t="s">
        <v>171</v>
      </c>
      <c r="CA12" s="284" t="s">
        <v>169</v>
      </c>
      <c r="CB12" s="284" t="s">
        <v>170</v>
      </c>
      <c r="CC12" s="284" t="s">
        <v>171</v>
      </c>
      <c r="CD12" s="284" t="s">
        <v>169</v>
      </c>
      <c r="CE12" s="284" t="s">
        <v>170</v>
      </c>
      <c r="CF12" s="284" t="s">
        <v>168</v>
      </c>
      <c r="CG12" s="284" t="s">
        <v>169</v>
      </c>
      <c r="CH12" s="284" t="s">
        <v>170</v>
      </c>
      <c r="CI12" s="284" t="s">
        <v>168</v>
      </c>
      <c r="CJ12" s="284" t="s">
        <v>169</v>
      </c>
      <c r="CK12" s="284" t="s">
        <v>170</v>
      </c>
      <c r="CL12" s="284" t="s">
        <v>168</v>
      </c>
      <c r="CM12" s="284" t="s">
        <v>169</v>
      </c>
      <c r="CN12" s="284" t="s">
        <v>170</v>
      </c>
      <c r="CO12" s="284" t="s">
        <v>168</v>
      </c>
      <c r="CP12" s="284" t="s">
        <v>169</v>
      </c>
      <c r="CQ12" s="284" t="s">
        <v>170</v>
      </c>
      <c r="CR12" s="284" t="s">
        <v>168</v>
      </c>
      <c r="CS12" s="284" t="s">
        <v>169</v>
      </c>
      <c r="CT12" s="284" t="s">
        <v>170</v>
      </c>
      <c r="CU12" s="284" t="s">
        <v>168</v>
      </c>
      <c r="CV12" s="284" t="s">
        <v>169</v>
      </c>
      <c r="CW12" s="284" t="s">
        <v>170</v>
      </c>
      <c r="CX12" s="284" t="s">
        <v>168</v>
      </c>
      <c r="CY12" s="284" t="s">
        <v>169</v>
      </c>
      <c r="CZ12" s="284" t="s">
        <v>170</v>
      </c>
      <c r="DA12" s="284" t="s">
        <v>168</v>
      </c>
      <c r="DB12" s="284" t="s">
        <v>169</v>
      </c>
      <c r="DC12" s="284" t="s">
        <v>170</v>
      </c>
      <c r="DD12" s="284" t="s">
        <v>168</v>
      </c>
      <c r="DE12" s="284" t="s">
        <v>169</v>
      </c>
      <c r="DF12" s="284" t="s">
        <v>170</v>
      </c>
      <c r="DG12" s="284" t="s">
        <v>168</v>
      </c>
      <c r="DH12" s="284" t="s">
        <v>169</v>
      </c>
      <c r="DI12" s="284" t="s">
        <v>170</v>
      </c>
      <c r="DJ12" s="284" t="s">
        <v>168</v>
      </c>
      <c r="DK12" s="284" t="s">
        <v>169</v>
      </c>
      <c r="DL12" s="284" t="s">
        <v>170</v>
      </c>
      <c r="DM12" s="284" t="s">
        <v>168</v>
      </c>
      <c r="DN12" s="284" t="s">
        <v>169</v>
      </c>
      <c r="DO12" s="284" t="s">
        <v>170</v>
      </c>
      <c r="DP12" s="284" t="s">
        <v>168</v>
      </c>
      <c r="DQ12" s="284" t="s">
        <v>169</v>
      </c>
      <c r="DR12" s="284" t="s">
        <v>170</v>
      </c>
      <c r="DS12" s="284" t="s">
        <v>168</v>
      </c>
      <c r="DT12" s="284" t="s">
        <v>169</v>
      </c>
      <c r="DU12" s="284" t="s">
        <v>170</v>
      </c>
      <c r="DV12" s="284" t="s">
        <v>168</v>
      </c>
      <c r="DW12" s="284" t="s">
        <v>169</v>
      </c>
      <c r="DX12" s="284" t="s">
        <v>170</v>
      </c>
      <c r="DY12" s="284" t="s">
        <v>168</v>
      </c>
      <c r="DZ12" s="284" t="s">
        <v>169</v>
      </c>
      <c r="EA12" s="284" t="s">
        <v>170</v>
      </c>
      <c r="EB12" s="284" t="s">
        <v>168</v>
      </c>
      <c r="EC12" s="284" t="s">
        <v>169</v>
      </c>
      <c r="ED12" s="284" t="s">
        <v>170</v>
      </c>
      <c r="EE12" s="284" t="s">
        <v>168</v>
      </c>
      <c r="EF12" s="284" t="s">
        <v>169</v>
      </c>
      <c r="EG12" s="284" t="s">
        <v>170</v>
      </c>
      <c r="EH12" s="284" t="s">
        <v>168</v>
      </c>
      <c r="EI12" s="284" t="s">
        <v>169</v>
      </c>
      <c r="EJ12" s="284" t="s">
        <v>170</v>
      </c>
      <c r="EK12" s="284" t="s">
        <v>168</v>
      </c>
      <c r="EL12" s="284" t="s">
        <v>169</v>
      </c>
      <c r="EM12" s="284" t="s">
        <v>170</v>
      </c>
      <c r="EN12" s="284" t="s">
        <v>168</v>
      </c>
      <c r="EO12" s="284" t="s">
        <v>169</v>
      </c>
      <c r="EP12" s="284" t="s">
        <v>170</v>
      </c>
      <c r="EQ12" s="284" t="s">
        <v>168</v>
      </c>
      <c r="ER12" s="284" t="s">
        <v>169</v>
      </c>
      <c r="ES12" s="284" t="s">
        <v>170</v>
      </c>
      <c r="ET12" s="284" t="s">
        <v>168</v>
      </c>
      <c r="EU12" s="284" t="s">
        <v>169</v>
      </c>
      <c r="EV12" s="284" t="s">
        <v>170</v>
      </c>
      <c r="EW12" s="284" t="s">
        <v>168</v>
      </c>
      <c r="EX12" s="284" t="s">
        <v>169</v>
      </c>
      <c r="EY12" s="284" t="s">
        <v>170</v>
      </c>
      <c r="EZ12" s="284" t="s">
        <v>168</v>
      </c>
      <c r="FA12" s="284" t="s">
        <v>169</v>
      </c>
      <c r="FB12" s="284" t="s">
        <v>170</v>
      </c>
      <c r="FC12" s="284" t="s">
        <v>168</v>
      </c>
      <c r="FD12" s="284" t="s">
        <v>169</v>
      </c>
      <c r="FE12" s="284" t="s">
        <v>170</v>
      </c>
      <c r="FG12" s="158"/>
      <c r="FH12" s="158"/>
      <c r="FI12" s="158"/>
    </row>
    <row r="13" spans="1:165" s="157" customFormat="1" ht="24" customHeight="1" x14ac:dyDescent="0.25">
      <c r="A13" s="286">
        <v>1</v>
      </c>
      <c r="B13" s="284">
        <v>2</v>
      </c>
      <c r="C13" s="286">
        <v>3</v>
      </c>
      <c r="D13" s="285">
        <v>4</v>
      </c>
      <c r="E13" s="286">
        <v>5</v>
      </c>
      <c r="F13" s="284">
        <v>6</v>
      </c>
      <c r="G13" s="286">
        <v>7</v>
      </c>
      <c r="H13" s="284">
        <v>8</v>
      </c>
      <c r="I13" s="284"/>
      <c r="J13" s="284"/>
      <c r="K13" s="284"/>
      <c r="L13" s="286">
        <v>9</v>
      </c>
      <c r="M13" s="284">
        <v>10</v>
      </c>
      <c r="N13" s="286">
        <v>11</v>
      </c>
      <c r="O13" s="415"/>
      <c r="P13" s="415"/>
      <c r="Q13" s="415"/>
      <c r="R13" s="286">
        <v>12</v>
      </c>
      <c r="S13" s="286">
        <v>13</v>
      </c>
      <c r="T13" s="286">
        <v>14</v>
      </c>
      <c r="U13" s="286">
        <v>15</v>
      </c>
      <c r="V13" s="286">
        <v>16</v>
      </c>
      <c r="W13" s="286">
        <v>17</v>
      </c>
      <c r="X13" s="286">
        <v>18</v>
      </c>
      <c r="Y13" s="286">
        <v>19</v>
      </c>
      <c r="Z13" s="286">
        <v>20</v>
      </c>
      <c r="AA13" s="286">
        <v>21</v>
      </c>
      <c r="AB13" s="286">
        <v>22</v>
      </c>
      <c r="AC13" s="286">
        <v>23</v>
      </c>
      <c r="AD13" s="284">
        <v>24</v>
      </c>
      <c r="AE13" s="286">
        <v>25</v>
      </c>
      <c r="AF13" s="284">
        <v>26</v>
      </c>
      <c r="AG13" s="286">
        <v>27</v>
      </c>
      <c r="AH13" s="284">
        <v>28</v>
      </c>
      <c r="AI13" s="286">
        <v>29</v>
      </c>
      <c r="AJ13" s="284">
        <v>30</v>
      </c>
      <c r="AK13" s="286">
        <v>31</v>
      </c>
      <c r="AL13" s="284">
        <v>32</v>
      </c>
      <c r="AM13" s="286">
        <v>33</v>
      </c>
      <c r="AN13" s="284">
        <v>34</v>
      </c>
      <c r="AO13" s="286">
        <v>35</v>
      </c>
      <c r="AP13" s="286">
        <v>36</v>
      </c>
      <c r="AQ13" s="286">
        <v>37</v>
      </c>
      <c r="AR13" s="286">
        <v>38</v>
      </c>
      <c r="AS13" s="284">
        <v>39</v>
      </c>
      <c r="AT13" s="286">
        <v>40</v>
      </c>
      <c r="AU13" s="284">
        <v>41</v>
      </c>
      <c r="AV13" s="286">
        <v>42</v>
      </c>
      <c r="AW13" s="284">
        <v>43</v>
      </c>
      <c r="AX13" s="286">
        <v>44</v>
      </c>
      <c r="AY13" s="286">
        <v>45</v>
      </c>
      <c r="AZ13" s="284">
        <v>46</v>
      </c>
      <c r="BA13" s="286">
        <v>47</v>
      </c>
      <c r="BB13" s="286">
        <v>48</v>
      </c>
      <c r="BC13" s="284">
        <v>49</v>
      </c>
      <c r="BD13" s="286">
        <v>50</v>
      </c>
      <c r="BE13" s="286">
        <v>48</v>
      </c>
      <c r="BF13" s="284">
        <v>49</v>
      </c>
      <c r="BG13" s="286">
        <v>50</v>
      </c>
      <c r="BH13" s="286">
        <v>51</v>
      </c>
      <c r="BI13" s="286">
        <v>52</v>
      </c>
      <c r="BJ13" s="286">
        <v>56</v>
      </c>
      <c r="BK13" s="284">
        <v>51</v>
      </c>
      <c r="BL13" s="286">
        <v>52</v>
      </c>
      <c r="BM13" s="284">
        <v>53</v>
      </c>
      <c r="BN13" s="286">
        <v>60</v>
      </c>
      <c r="BO13" s="287">
        <v>61</v>
      </c>
      <c r="BP13" s="288">
        <v>62</v>
      </c>
      <c r="BQ13" s="286">
        <v>63</v>
      </c>
      <c r="BR13" s="286">
        <v>64</v>
      </c>
      <c r="BS13" s="286">
        <v>65</v>
      </c>
      <c r="BT13" s="286">
        <v>66</v>
      </c>
      <c r="BU13" s="286">
        <v>67</v>
      </c>
      <c r="BV13" s="286">
        <v>68</v>
      </c>
      <c r="BW13" s="284">
        <v>54</v>
      </c>
      <c r="BX13" s="286">
        <v>55</v>
      </c>
      <c r="BY13" s="284">
        <v>56</v>
      </c>
      <c r="BZ13" s="286">
        <v>72</v>
      </c>
      <c r="CA13" s="284">
        <v>73</v>
      </c>
      <c r="CB13" s="286">
        <v>74</v>
      </c>
      <c r="CC13" s="284">
        <v>75</v>
      </c>
      <c r="CD13" s="286">
        <v>76</v>
      </c>
      <c r="CE13" s="284">
        <v>77</v>
      </c>
      <c r="CF13" s="286">
        <v>57</v>
      </c>
      <c r="CG13" s="284">
        <v>58</v>
      </c>
      <c r="CH13" s="286">
        <v>59</v>
      </c>
      <c r="CI13" s="284">
        <v>60</v>
      </c>
      <c r="CJ13" s="286">
        <v>61</v>
      </c>
      <c r="CK13" s="284">
        <v>62</v>
      </c>
      <c r="CL13" s="286">
        <v>63</v>
      </c>
      <c r="CM13" s="284">
        <v>64</v>
      </c>
      <c r="CN13" s="286">
        <v>65</v>
      </c>
      <c r="CO13" s="284">
        <v>66</v>
      </c>
      <c r="CP13" s="286">
        <v>67</v>
      </c>
      <c r="CQ13" s="284">
        <v>68</v>
      </c>
      <c r="CR13" s="286">
        <v>69</v>
      </c>
      <c r="CS13" s="284">
        <v>70</v>
      </c>
      <c r="CT13" s="286">
        <v>71</v>
      </c>
      <c r="CU13" s="286">
        <v>72</v>
      </c>
      <c r="CV13" s="286">
        <v>73</v>
      </c>
      <c r="CW13" s="286">
        <v>74</v>
      </c>
      <c r="CX13" s="286">
        <v>75</v>
      </c>
      <c r="CY13" s="286">
        <v>76</v>
      </c>
      <c r="CZ13" s="286">
        <v>77</v>
      </c>
      <c r="DA13" s="286">
        <v>78</v>
      </c>
      <c r="DB13" s="286">
        <v>79</v>
      </c>
      <c r="DC13" s="286">
        <v>80</v>
      </c>
      <c r="DD13" s="284">
        <v>96</v>
      </c>
      <c r="DE13" s="286">
        <v>97</v>
      </c>
      <c r="DF13" s="284">
        <v>98</v>
      </c>
      <c r="DG13" s="284">
        <v>99</v>
      </c>
      <c r="DH13" s="284">
        <v>100</v>
      </c>
      <c r="DI13" s="284">
        <v>101</v>
      </c>
      <c r="DJ13" s="284">
        <v>102</v>
      </c>
      <c r="DK13" s="284">
        <v>103</v>
      </c>
      <c r="DL13" s="284">
        <v>104</v>
      </c>
      <c r="DM13" s="286">
        <v>81</v>
      </c>
      <c r="DN13" s="284">
        <v>82</v>
      </c>
      <c r="DO13" s="286">
        <v>83</v>
      </c>
      <c r="DP13" s="284">
        <v>84</v>
      </c>
      <c r="DQ13" s="286">
        <v>85</v>
      </c>
      <c r="DR13" s="284">
        <v>86</v>
      </c>
      <c r="DS13" s="286">
        <v>87</v>
      </c>
      <c r="DT13" s="284">
        <v>88</v>
      </c>
      <c r="DU13" s="286">
        <v>89</v>
      </c>
      <c r="DV13" s="284">
        <v>90</v>
      </c>
      <c r="DW13" s="286">
        <v>91</v>
      </c>
      <c r="DX13" s="284">
        <v>92</v>
      </c>
      <c r="DY13" s="286">
        <v>93</v>
      </c>
      <c r="DZ13" s="284">
        <v>94</v>
      </c>
      <c r="EA13" s="286">
        <v>95</v>
      </c>
      <c r="EB13" s="284">
        <v>96</v>
      </c>
      <c r="EC13" s="284">
        <v>97</v>
      </c>
      <c r="ED13" s="284">
        <v>98</v>
      </c>
      <c r="EE13" s="286">
        <v>99</v>
      </c>
      <c r="EF13" s="284">
        <v>100</v>
      </c>
      <c r="EG13" s="286">
        <v>101</v>
      </c>
      <c r="EH13" s="284">
        <v>102</v>
      </c>
      <c r="EI13" s="286">
        <v>103</v>
      </c>
      <c r="EJ13" s="284">
        <v>104</v>
      </c>
      <c r="EK13" s="286">
        <v>105</v>
      </c>
      <c r="EL13" s="284">
        <v>106</v>
      </c>
      <c r="EM13" s="286">
        <v>107</v>
      </c>
      <c r="EN13" s="284">
        <v>108</v>
      </c>
      <c r="EO13" s="286">
        <v>109</v>
      </c>
      <c r="EP13" s="284">
        <v>110</v>
      </c>
      <c r="EQ13" s="286">
        <v>111</v>
      </c>
      <c r="ER13" s="284">
        <v>112</v>
      </c>
      <c r="ES13" s="286">
        <v>113</v>
      </c>
      <c r="ET13" s="284">
        <v>114</v>
      </c>
      <c r="EU13" s="286">
        <v>115</v>
      </c>
      <c r="EV13" s="284">
        <v>116</v>
      </c>
      <c r="EW13" s="286">
        <v>117</v>
      </c>
      <c r="EX13" s="284">
        <v>118</v>
      </c>
      <c r="EY13" s="286">
        <v>119</v>
      </c>
      <c r="EZ13" s="284">
        <v>120</v>
      </c>
      <c r="FA13" s="286">
        <v>121</v>
      </c>
      <c r="FB13" s="284">
        <v>122</v>
      </c>
      <c r="FC13" s="286">
        <v>123</v>
      </c>
      <c r="FD13" s="284">
        <v>124</v>
      </c>
      <c r="FE13" s="286">
        <v>125</v>
      </c>
    </row>
    <row r="14" spans="1:165" s="157" customFormat="1" ht="25.5" customHeight="1" x14ac:dyDescent="0.25">
      <c r="A14" s="331">
        <v>1</v>
      </c>
      <c r="B14" s="332" t="s">
        <v>282</v>
      </c>
      <c r="C14" s="289">
        <f>F14+CF14</f>
        <v>7133.6502700000001</v>
      </c>
      <c r="D14" s="290">
        <f t="shared" ref="D14:D29" si="0">G14+CG14+DE14</f>
        <v>7163.87752</v>
      </c>
      <c r="E14" s="291">
        <f t="shared" ref="E14:E29" si="1">D14/C14*100</f>
        <v>100.42372766894836</v>
      </c>
      <c r="F14" s="292">
        <f t="shared" ref="F14" si="2">L14+AD14+AG14+AJ14+AM14+AS14+AY14+BK14+BW14+BT14+AP14+BE14+R14+X14+U14+AA14+AV14</f>
        <v>1098.6209999999999</v>
      </c>
      <c r="G14" s="292">
        <f t="shared" ref="G14:G29" si="3">M14+AE14+AH14+AK14+AN14+AT14+AZ14+BL14+AQ14+BX14+BU14+BF14+S14+Y14+V14+AB14+AW14</f>
        <v>1128.84825</v>
      </c>
      <c r="H14" s="291">
        <f>G14/F14*100</f>
        <v>102.75138104951573</v>
      </c>
      <c r="I14" s="291">
        <f>L14+R14+U14+X14+AA14+AD14+AG14+AJ14+AM14</f>
        <v>613.77</v>
      </c>
      <c r="J14" s="291"/>
      <c r="K14" s="291"/>
      <c r="L14" s="293">
        <f>Але!C6</f>
        <v>81</v>
      </c>
      <c r="M14" s="382">
        <f>Але!D6</f>
        <v>81.830629999999999</v>
      </c>
      <c r="N14" s="291">
        <f>M14/L14*100</f>
        <v>101.02546913580245</v>
      </c>
      <c r="O14" s="291">
        <f t="shared" ref="O14:O29" si="4">R14+U14+X14+AA14</f>
        <v>286.77</v>
      </c>
      <c r="P14" s="291">
        <f t="shared" ref="P14:P29" si="5">S14+V14+Y14+AB14</f>
        <v>339.03285</v>
      </c>
      <c r="Q14" s="291"/>
      <c r="R14" s="291">
        <f>Але!C8</f>
        <v>106.965</v>
      </c>
      <c r="S14" s="291">
        <f>Але!D8</f>
        <v>169.95956000000001</v>
      </c>
      <c r="T14" s="291">
        <f>S14/R14*100</f>
        <v>158.8926845229748</v>
      </c>
      <c r="U14" s="291">
        <f>Але!C9</f>
        <v>1.147</v>
      </c>
      <c r="V14" s="291">
        <f>Але!D9</f>
        <v>0.91805000000000003</v>
      </c>
      <c r="W14" s="291">
        <f>V14/U14*100</f>
        <v>80.039232781168266</v>
      </c>
      <c r="X14" s="291">
        <f>Але!C10</f>
        <v>178.65799999999999</v>
      </c>
      <c r="Y14" s="291">
        <f>Але!D10</f>
        <v>187.65454</v>
      </c>
      <c r="Z14" s="291">
        <f>Y14/X14*100</f>
        <v>105.03562113087577</v>
      </c>
      <c r="AA14" s="291">
        <f>Але!C11</f>
        <v>0</v>
      </c>
      <c r="AB14" s="295">
        <f>Але!D11</f>
        <v>-19.499300000000002</v>
      </c>
      <c r="AC14" s="291" t="e">
        <f>AB14/AA14*100</f>
        <v>#DIV/0!</v>
      </c>
      <c r="AD14" s="296">
        <f>Але!C13</f>
        <v>10</v>
      </c>
      <c r="AE14" s="381">
        <f>Але!D13</f>
        <v>0</v>
      </c>
      <c r="AF14" s="291">
        <f>AE14/AD14*100</f>
        <v>0</v>
      </c>
      <c r="AG14" s="296">
        <f>Але!C15</f>
        <v>86</v>
      </c>
      <c r="AH14" s="297">
        <f>Але!D15</f>
        <v>68.343940000000003</v>
      </c>
      <c r="AI14" s="291">
        <f>AH14/AG14*100</f>
        <v>79.469697674418597</v>
      </c>
      <c r="AJ14" s="296">
        <f>Але!C16</f>
        <v>147</v>
      </c>
      <c r="AK14" s="296">
        <f>Але!D16</f>
        <v>142.96259000000001</v>
      </c>
      <c r="AL14" s="291">
        <f t="shared" ref="AL14:AL29" si="6">AK14/AJ14*100</f>
        <v>97.253462585034029</v>
      </c>
      <c r="AM14" s="291">
        <f>Але!C18</f>
        <v>3</v>
      </c>
      <c r="AN14" s="291">
        <f>Але!D18</f>
        <v>1.1000000000000001</v>
      </c>
      <c r="AO14" s="291">
        <f>AN14/AM14*100</f>
        <v>36.666666666666671</v>
      </c>
      <c r="AP14" s="291"/>
      <c r="AQ14" s="291"/>
      <c r="AR14" s="298" t="e">
        <f t="shared" ref="AR14:AR23" si="7">AQ14/AP14*100</f>
        <v>#DIV/0!</v>
      </c>
      <c r="AS14" s="296">
        <v>0</v>
      </c>
      <c r="AT14" s="296">
        <v>0</v>
      </c>
      <c r="AU14" s="298" t="e">
        <f t="shared" ref="AU14:AU29" si="8">AT14/AS14*100</f>
        <v>#DIV/0!</v>
      </c>
      <c r="AV14" s="296">
        <f>Але!C27</f>
        <v>50</v>
      </c>
      <c r="AW14" s="299">
        <f>Але!D27</f>
        <v>54.284680000000002</v>
      </c>
      <c r="AX14" s="291">
        <f>AW14/AV14*100</f>
        <v>108.56935999999999</v>
      </c>
      <c r="AY14" s="300">
        <f>Але!C28</f>
        <v>0</v>
      </c>
      <c r="AZ14" s="299">
        <f>Але!D28</f>
        <v>0</v>
      </c>
      <c r="BA14" s="291" t="e">
        <f>AZ14/AY14*100</f>
        <v>#DIV/0!</v>
      </c>
      <c r="BB14" s="296"/>
      <c r="BC14" s="296"/>
      <c r="BD14" s="291" t="e">
        <f>BC14/BB14*100</f>
        <v>#DIV/0!</v>
      </c>
      <c r="BE14" s="291">
        <f>Але!C29</f>
        <v>0</v>
      </c>
      <c r="BF14" s="301">
        <f>Але!D29</f>
        <v>0.35255999999999998</v>
      </c>
      <c r="BG14" s="291" t="e">
        <f>BF14/BE14*100</f>
        <v>#DIV/0!</v>
      </c>
      <c r="BH14" s="291">
        <f>Але!C30</f>
        <v>0</v>
      </c>
      <c r="BI14" s="291">
        <f>Але!D30</f>
        <v>0.35255999999999998</v>
      </c>
      <c r="BJ14" s="291" t="e">
        <f>BI14/BH14*100</f>
        <v>#DIV/0!</v>
      </c>
      <c r="BK14" s="291">
        <f>Але!C32</f>
        <v>0</v>
      </c>
      <c r="BL14" s="291">
        <f>Але!D31</f>
        <v>0</v>
      </c>
      <c r="BM14" s="291" t="e">
        <f>BL14/BK14*100</f>
        <v>#DIV/0!</v>
      </c>
      <c r="BN14" s="291"/>
      <c r="BO14" s="291"/>
      <c r="BP14" s="291" t="e">
        <f>BO14/BN14*100</f>
        <v>#DIV/0!</v>
      </c>
      <c r="BQ14" s="291"/>
      <c r="BR14" s="291"/>
      <c r="BS14" s="291"/>
      <c r="BT14" s="291"/>
      <c r="BU14" s="302"/>
      <c r="BV14" s="291" t="e">
        <f>BU14/BT14*100</f>
        <v>#DIV/0!</v>
      </c>
      <c r="BW14" s="291">
        <f>Але!C34</f>
        <v>434.851</v>
      </c>
      <c r="BX14" s="291">
        <f>Але!D36</f>
        <v>440.94099999999997</v>
      </c>
      <c r="BY14" s="291">
        <f>BX14/BW14*100</f>
        <v>101.40047970454246</v>
      </c>
      <c r="BZ14" s="291"/>
      <c r="CA14" s="291"/>
      <c r="CB14" s="303" t="e">
        <f>BZ14/CA14*100</f>
        <v>#DIV/0!</v>
      </c>
      <c r="CC14" s="303"/>
      <c r="CD14" s="303"/>
      <c r="CE14" s="303" t="e">
        <f>CC14/CD14*100</f>
        <v>#DIV/0!</v>
      </c>
      <c r="CF14" s="296">
        <f>CI14+CL14+CO14+CR14+CX14+CU14</f>
        <v>6035.02927</v>
      </c>
      <c r="CG14" s="296">
        <f>CJ14+CM14+CP14+CS14+CY14+CV14+DB14</f>
        <v>6035.02927</v>
      </c>
      <c r="CH14" s="291">
        <f>CG14/CF14*100</f>
        <v>100</v>
      </c>
      <c r="CI14" s="298">
        <f>Але!C39</f>
        <v>1839.6</v>
      </c>
      <c r="CJ14" s="298">
        <f>Але!D39</f>
        <v>1839.6</v>
      </c>
      <c r="CK14" s="291">
        <f>CJ14/CI14*100</f>
        <v>100</v>
      </c>
      <c r="CL14" s="291">
        <f>Але!C40</f>
        <v>0</v>
      </c>
      <c r="CM14" s="388">
        <f>Але!D40</f>
        <v>0</v>
      </c>
      <c r="CN14" s="291" t="e">
        <f>CM14/CL14*100</f>
        <v>#DIV/0!</v>
      </c>
      <c r="CO14" s="291">
        <f>Але!C41</f>
        <v>2800.9644899999998</v>
      </c>
      <c r="CP14" s="291">
        <f>Але!D41</f>
        <v>2800.9644899999998</v>
      </c>
      <c r="CQ14" s="291">
        <f t="shared" ref="CQ14:CQ29" si="9">CP14/CO14*100</f>
        <v>100</v>
      </c>
      <c r="CR14" s="291">
        <f>Але!C42</f>
        <v>108.54452999999999</v>
      </c>
      <c r="CS14" s="291">
        <f>Але!D42</f>
        <v>108.54452999999999</v>
      </c>
      <c r="CT14" s="291">
        <f t="shared" ref="CT14:CT31" si="10">CS14/CR14*100</f>
        <v>100</v>
      </c>
      <c r="CU14" s="291">
        <f>Але!C44</f>
        <v>1285.9202499999999</v>
      </c>
      <c r="CV14" s="291">
        <f>Але!D44</f>
        <v>1285.9202499999999</v>
      </c>
      <c r="CW14" s="291">
        <f>CV14/CU14*100</f>
        <v>100</v>
      </c>
      <c r="CX14" s="295">
        <f>Але!C43</f>
        <v>0</v>
      </c>
      <c r="CY14" s="291">
        <f>Але!D43</f>
        <v>0</v>
      </c>
      <c r="CZ14" s="291" t="e">
        <f t="shared" ref="CZ14:CZ31" si="11">CY14/CX14*100</f>
        <v>#DIV/0!</v>
      </c>
      <c r="DA14" s="291"/>
      <c r="DB14" s="291">
        <f>Але!D45</f>
        <v>0</v>
      </c>
      <c r="DC14" s="291" t="e">
        <f>DB13:DB14/DA14*100</f>
        <v>#DIV/0!</v>
      </c>
      <c r="DD14" s="296"/>
      <c r="DE14" s="296"/>
      <c r="DF14" s="291" t="e">
        <f>DE14/DD14*100</f>
        <v>#DIV/0!</v>
      </c>
      <c r="DG14" s="291"/>
      <c r="DH14" s="291"/>
      <c r="DI14" s="291"/>
      <c r="DJ14" s="291"/>
      <c r="DK14" s="291"/>
      <c r="DL14" s="291"/>
      <c r="DM14" s="300">
        <f>DP14+EE14+EH14+EK14+EN14+EQ14+ET14+EW14+EZ14</f>
        <v>7895.2142299999996</v>
      </c>
      <c r="DN14" s="300">
        <f>DQ14+EF14+EI14+EL14+EO14+ER14+EU14+EX14+FA14</f>
        <v>7712.6722000000009</v>
      </c>
      <c r="DO14" s="291">
        <f>DN14/DM14*100</f>
        <v>97.687940761551715</v>
      </c>
      <c r="DP14" s="296">
        <f>DS14+DV14+DY14+EB14</f>
        <v>1412.83718</v>
      </c>
      <c r="DQ14" s="296">
        <f>DT14+DW14+DZ14+EC14</f>
        <v>1397.4266400000001</v>
      </c>
      <c r="DR14" s="291">
        <f>DQ14/DP14*100</f>
        <v>98.909248693469422</v>
      </c>
      <c r="DS14" s="291">
        <f>Але!C54</f>
        <v>1409.1871799999999</v>
      </c>
      <c r="DT14" s="291">
        <f>Але!D54</f>
        <v>1394.77664</v>
      </c>
      <c r="DU14" s="291">
        <f>DT14/DS14*100</f>
        <v>98.977386382410899</v>
      </c>
      <c r="DV14" s="291">
        <f>Але!C57</f>
        <v>0</v>
      </c>
      <c r="DW14" s="291">
        <f>Але!D57</f>
        <v>0</v>
      </c>
      <c r="DX14" s="291" t="e">
        <f>DW14/DV14*100</f>
        <v>#DIV/0!</v>
      </c>
      <c r="DY14" s="291">
        <f>Але!C58</f>
        <v>1</v>
      </c>
      <c r="DZ14" s="291">
        <f>Але!D58</f>
        <v>0</v>
      </c>
      <c r="EA14" s="291">
        <f>DZ14/DY14*100</f>
        <v>0</v>
      </c>
      <c r="EB14" s="291">
        <f>Але!C59</f>
        <v>2.65</v>
      </c>
      <c r="EC14" s="291">
        <f>Але!D59</f>
        <v>2.65</v>
      </c>
      <c r="ED14" s="291">
        <f>EC14/EB14*100</f>
        <v>100</v>
      </c>
      <c r="EE14" s="291">
        <f>Але!C61</f>
        <v>108.54452999999999</v>
      </c>
      <c r="EF14" s="291">
        <f>Але!D61</f>
        <v>108.54452999999999</v>
      </c>
      <c r="EG14" s="291">
        <f>EF14/EE14*100</f>
        <v>100</v>
      </c>
      <c r="EH14" s="291">
        <f>Але!C62</f>
        <v>18</v>
      </c>
      <c r="EI14" s="291">
        <f>Але!D62</f>
        <v>17.321960000000001</v>
      </c>
      <c r="EJ14" s="291">
        <f>EI14/EH14*100</f>
        <v>96.233111111111114</v>
      </c>
      <c r="EK14" s="296">
        <f>Але!C68</f>
        <v>851.65995999999996</v>
      </c>
      <c r="EL14" s="296">
        <f>Але!D68</f>
        <v>760.86120000000005</v>
      </c>
      <c r="EM14" s="291">
        <f>EL14/EK14*100</f>
        <v>89.338613500157976</v>
      </c>
      <c r="EN14" s="296">
        <f>Але!C73</f>
        <v>5212.0375599999998</v>
      </c>
      <c r="EO14" s="296">
        <f>Але!D73</f>
        <v>5136.3828700000004</v>
      </c>
      <c r="EP14" s="291">
        <f>EO14/EN14*100</f>
        <v>98.548462302332311</v>
      </c>
      <c r="EQ14" s="296">
        <f>Але!C77</f>
        <v>286.60000000000002</v>
      </c>
      <c r="ER14" s="304">
        <f>Але!D77</f>
        <v>286.60000000000002</v>
      </c>
      <c r="ES14" s="291">
        <f t="shared" ref="ES14:ES29" si="12">ER14/EQ14*100</f>
        <v>100</v>
      </c>
      <c r="ET14" s="291">
        <f>Але!C79</f>
        <v>0</v>
      </c>
      <c r="EU14" s="291">
        <f>Але!D79</f>
        <v>0</v>
      </c>
      <c r="EV14" s="291" t="e">
        <f t="shared" ref="EV14:EV29" si="13">EU14/ET14*100</f>
        <v>#DIV/0!</v>
      </c>
      <c r="EW14" s="292">
        <f>Але!C84</f>
        <v>5.5350000000000001</v>
      </c>
      <c r="EX14" s="292">
        <f>Але!D84</f>
        <v>5.5350000000000001</v>
      </c>
      <c r="EY14" s="291">
        <f>EX14/EW14*100</f>
        <v>100</v>
      </c>
      <c r="EZ14" s="291">
        <f>Але!C90</f>
        <v>0</v>
      </c>
      <c r="FA14" s="291">
        <f>Але!D90</f>
        <v>0</v>
      </c>
      <c r="FB14" s="291" t="e">
        <f>FA14/EZ14*100</f>
        <v>#DIV/0!</v>
      </c>
      <c r="FC14" s="418">
        <f t="shared" ref="FC14:FC29" si="14">SUM(C14-DM14)</f>
        <v>-761.5639599999995</v>
      </c>
      <c r="FD14" s="418">
        <f t="shared" ref="FD14:FD29" si="15">SUM(D14-DN14)</f>
        <v>-548.79468000000088</v>
      </c>
      <c r="FE14" s="291">
        <f>FD14/FC14*100%</f>
        <v>0.72061535054784009</v>
      </c>
      <c r="FF14" s="159"/>
      <c r="FG14" s="160"/>
      <c r="FI14" s="160"/>
    </row>
    <row r="15" spans="1:165" s="161" customFormat="1" ht="22.5" customHeight="1" x14ac:dyDescent="0.25">
      <c r="A15" s="331">
        <v>2</v>
      </c>
      <c r="B15" s="333" t="s">
        <v>283</v>
      </c>
      <c r="C15" s="289">
        <f t="shared" ref="C15:C29" si="16">F15+CF15</f>
        <v>59182.848760000001</v>
      </c>
      <c r="D15" s="290">
        <f>G15+CG15+DE15</f>
        <v>39002.106550000004</v>
      </c>
      <c r="E15" s="298">
        <f t="shared" si="1"/>
        <v>65.901029381269694</v>
      </c>
      <c r="F15" s="292">
        <f t="shared" ref="F15:F29" si="17">L15+AD15+AG15+AJ15+AM15+AS15+AY15+BK15+BW15+BT15+AP15+BE15+R15+X15+U15+AA15+AV15</f>
        <v>3972.4</v>
      </c>
      <c r="G15" s="292">
        <f>M15+AE15+AH15+AK15+AN15+AT15+AZ15+BL15+AQ15+BX15+BU15+BF15+S15+Y15+V15+AB15+AW15</f>
        <v>6686.2258999999995</v>
      </c>
      <c r="H15" s="298">
        <f t="shared" ref="H15:H29" si="18">G15/F15*100</f>
        <v>168.31703504178833</v>
      </c>
      <c r="I15" s="291">
        <f t="shared" ref="I15:I29" si="19">L15+R15+U15+X15+AA15+AD15+AG15+AJ15+AM15</f>
        <v>3692.3999999999996</v>
      </c>
      <c r="J15" s="298"/>
      <c r="K15" s="298"/>
      <c r="L15" s="305">
        <f>Сун!C6</f>
        <v>396</v>
      </c>
      <c r="M15" s="383">
        <f>Сун!D6</f>
        <v>1142.71928</v>
      </c>
      <c r="N15" s="298">
        <f t="shared" ref="N15:N29" si="20">M15/L15*100</f>
        <v>288.56547474747475</v>
      </c>
      <c r="O15" s="291">
        <f t="shared" si="4"/>
        <v>823.39999999999986</v>
      </c>
      <c r="P15" s="291">
        <f t="shared" si="5"/>
        <v>973.46062999999992</v>
      </c>
      <c r="Q15" s="298"/>
      <c r="R15" s="298">
        <f>Сун!C8</f>
        <v>307.12799999999999</v>
      </c>
      <c r="S15" s="298">
        <f>Сун!D8</f>
        <v>488.0027</v>
      </c>
      <c r="T15" s="291">
        <f t="shared" ref="T15:T29" si="21">S15/R15*100</f>
        <v>158.89228595243679</v>
      </c>
      <c r="U15" s="291">
        <f>Сун!C9</f>
        <v>3.294</v>
      </c>
      <c r="V15" s="291">
        <f>Сун!D9</f>
        <v>2.63592</v>
      </c>
      <c r="W15" s="291">
        <f t="shared" ref="W15:W29" si="22">V15/U15*100</f>
        <v>80.021857923497265</v>
      </c>
      <c r="X15" s="291">
        <f>Сун!C10</f>
        <v>512.97799999999995</v>
      </c>
      <c r="Y15" s="291">
        <f>Сун!D10</f>
        <v>538.81007999999997</v>
      </c>
      <c r="Z15" s="291">
        <f t="shared" ref="Z15:Z29" si="23">Y15/X15*100</f>
        <v>105.03570913372504</v>
      </c>
      <c r="AA15" s="291">
        <f>Сун!C11</f>
        <v>0</v>
      </c>
      <c r="AB15" s="295">
        <f>Сун!D11</f>
        <v>-55.98807</v>
      </c>
      <c r="AC15" s="291" t="e">
        <f t="shared" ref="AC15:AC29" si="24">AB15/AA15*100</f>
        <v>#DIV/0!</v>
      </c>
      <c r="AD15" s="305">
        <f>Сун!C13</f>
        <v>45</v>
      </c>
      <c r="AE15" s="305">
        <f>Сун!D13</f>
        <v>42.506970000000003</v>
      </c>
      <c r="AF15" s="298">
        <f t="shared" ref="AF15:AF29" si="25">AE15/AD15*100</f>
        <v>94.459933333333339</v>
      </c>
      <c r="AG15" s="305">
        <f>Сун!C15</f>
        <v>1023</v>
      </c>
      <c r="AH15" s="297">
        <f>Сун!D15</f>
        <v>1140.8601699999999</v>
      </c>
      <c r="AI15" s="298">
        <f t="shared" ref="AI15:AI29" si="26">AH15/AG15*100</f>
        <v>111.52103323558163</v>
      </c>
      <c r="AJ15" s="305">
        <f>Сун!C16</f>
        <v>1395</v>
      </c>
      <c r="AK15" s="305">
        <f>Сун!D16</f>
        <v>1677.9716900000001</v>
      </c>
      <c r="AL15" s="298">
        <f t="shared" si="6"/>
        <v>120.28470896057348</v>
      </c>
      <c r="AM15" s="298">
        <f>Сун!C18</f>
        <v>10</v>
      </c>
      <c r="AN15" s="298">
        <f>Сун!D18</f>
        <v>8.17</v>
      </c>
      <c r="AO15" s="298">
        <f t="shared" ref="AO15:AO31" si="27">AN15/AM15*100</f>
        <v>81.699999999999989</v>
      </c>
      <c r="AP15" s="298"/>
      <c r="AQ15" s="298"/>
      <c r="AR15" s="298" t="e">
        <f t="shared" si="7"/>
        <v>#DIV/0!</v>
      </c>
      <c r="AS15" s="305">
        <f>Сун!C27</f>
        <v>0</v>
      </c>
      <c r="AT15" s="305">
        <f>Сун!D27</f>
        <v>0</v>
      </c>
      <c r="AU15" s="298" t="e">
        <f t="shared" si="8"/>
        <v>#DIV/0!</v>
      </c>
      <c r="AV15" s="305">
        <f>Сун!C28</f>
        <v>200</v>
      </c>
      <c r="AW15" s="306">
        <f>Сун!D28</f>
        <v>221</v>
      </c>
      <c r="AX15" s="298">
        <f t="shared" ref="AX15:AX29" si="28">AW15/AV15*100</f>
        <v>110.5</v>
      </c>
      <c r="AY15" s="300">
        <f>Сун!C29</f>
        <v>50</v>
      </c>
      <c r="AZ15" s="306">
        <f>Сун!D29</f>
        <v>37.503</v>
      </c>
      <c r="BA15" s="298">
        <f t="shared" ref="BA15:BA29" si="29">AZ15/AY15*100</f>
        <v>75.006</v>
      </c>
      <c r="BB15" s="305"/>
      <c r="BC15" s="305"/>
      <c r="BD15" s="298" t="e">
        <f t="shared" ref="BD15:BD29" si="30">BC15/BB15*100</f>
        <v>#DIV/0!</v>
      </c>
      <c r="BE15" s="298">
        <f>Сун!C31</f>
        <v>30</v>
      </c>
      <c r="BF15" s="301">
        <f>SUM(Сун!D30)</f>
        <v>165.45399</v>
      </c>
      <c r="BG15" s="298">
        <f t="shared" ref="BG15:BG31" si="31">BF15/BE15*100</f>
        <v>551.51330000000007</v>
      </c>
      <c r="BH15" s="298"/>
      <c r="BI15" s="298"/>
      <c r="BJ15" s="298"/>
      <c r="BK15" s="298">
        <f>Сун!C33</f>
        <v>0</v>
      </c>
      <c r="BL15" s="298">
        <f>Сун!D33</f>
        <v>1132.1469999999999</v>
      </c>
      <c r="BM15" s="298" t="e">
        <f t="shared" ref="BM15:BM31" si="32">BL15/BK15*100</f>
        <v>#DIV/0!</v>
      </c>
      <c r="BN15" s="298"/>
      <c r="BO15" s="298"/>
      <c r="BP15" s="298" t="e">
        <f t="shared" ref="BP15:BP29" si="33">BO15/BN15*100</f>
        <v>#DIV/0!</v>
      </c>
      <c r="BQ15" s="298">
        <f>Сун!C36</f>
        <v>0</v>
      </c>
      <c r="BR15" s="298">
        <f>Сун!D36</f>
        <v>144.43316999999999</v>
      </c>
      <c r="BS15" s="298"/>
      <c r="BT15" s="298">
        <f>Сун!C36</f>
        <v>0</v>
      </c>
      <c r="BU15" s="298">
        <f>Сун!D36</f>
        <v>144.43316999999999</v>
      </c>
      <c r="BV15" s="291" t="e">
        <f t="shared" ref="BV15:BV29" si="34">BU15/BT15*100</f>
        <v>#DIV/0!</v>
      </c>
      <c r="BW15" s="298">
        <f>Сун!C38</f>
        <v>0</v>
      </c>
      <c r="BX15" s="298">
        <f>Сун!D38</f>
        <v>0</v>
      </c>
      <c r="BY15" s="298" t="e">
        <f t="shared" ref="BY15:BY29" si="35">BX15/BW15*100</f>
        <v>#DIV/0!</v>
      </c>
      <c r="BZ15" s="298"/>
      <c r="CA15" s="298"/>
      <c r="CB15" s="307" t="e">
        <f t="shared" ref="CB15:CB29" si="36">BZ15/CA15*100</f>
        <v>#DIV/0!</v>
      </c>
      <c r="CC15" s="307"/>
      <c r="CD15" s="307"/>
      <c r="CE15" s="307" t="e">
        <f t="shared" ref="CE15:CE29" si="37">CC15/CD15*100</f>
        <v>#DIV/0!</v>
      </c>
      <c r="CF15" s="296">
        <f t="shared" ref="CF15:CF29" si="38">CI15+CL15+CO15+CR15+CX15+CU15</f>
        <v>55210.448759999999</v>
      </c>
      <c r="CG15" s="296">
        <f t="shared" ref="CG15:CG29" si="39">CJ15+CM15+CP15+CS15+CY15+CV15+DB15</f>
        <v>32315.880650000003</v>
      </c>
      <c r="CH15" s="298">
        <f>CG15/CF15*100</f>
        <v>58.532182541165788</v>
      </c>
      <c r="CI15" s="298">
        <f>Сун!C43</f>
        <v>5604.2</v>
      </c>
      <c r="CJ15" s="298">
        <f>Сун!D43</f>
        <v>5604.2</v>
      </c>
      <c r="CK15" s="298">
        <f t="shared" ref="CK15:CK29" si="40">CJ15/CI15*100</f>
        <v>100</v>
      </c>
      <c r="CL15" s="298">
        <f>Сун!C44</f>
        <v>0</v>
      </c>
      <c r="CM15" s="389">
        <f>Сун!D44</f>
        <v>0</v>
      </c>
      <c r="CN15" s="298" t="e">
        <f t="shared" ref="CN15:CN29" si="41">CM15/CL15*100</f>
        <v>#DIV/0!</v>
      </c>
      <c r="CO15" s="308">
        <f>Сун!C45</f>
        <v>47116.958250000003</v>
      </c>
      <c r="CP15" s="298">
        <f>Сун!D45</f>
        <v>25825.013040000002</v>
      </c>
      <c r="CQ15" s="298">
        <f t="shared" si="9"/>
        <v>54.810441928305075</v>
      </c>
      <c r="CR15" s="298">
        <f>Сун!C47</f>
        <v>309.01751000000002</v>
      </c>
      <c r="CS15" s="298">
        <f>Сун!D47</f>
        <v>309.01751000000002</v>
      </c>
      <c r="CT15" s="298">
        <f t="shared" si="10"/>
        <v>100</v>
      </c>
      <c r="CU15" s="298">
        <f>Сун!C48</f>
        <v>2180.2730000000001</v>
      </c>
      <c r="CV15" s="298">
        <f>Сун!D48</f>
        <v>577.65009999999995</v>
      </c>
      <c r="CW15" s="291">
        <f t="shared" ref="CW15:CW29" si="42">CV15/CU15*100</f>
        <v>26.49439313333697</v>
      </c>
      <c r="CX15" s="309">
        <f>Сун!C49</f>
        <v>0</v>
      </c>
      <c r="CY15" s="298">
        <f>Сун!D49</f>
        <v>0</v>
      </c>
      <c r="CZ15" s="298" t="e">
        <f t="shared" si="11"/>
        <v>#DIV/0!</v>
      </c>
      <c r="DA15" s="298"/>
      <c r="DB15" s="298"/>
      <c r="DC15" s="298"/>
      <c r="DD15" s="305"/>
      <c r="DE15" s="305"/>
      <c r="DF15" s="298" t="e">
        <f t="shared" ref="DF15:DF29" si="43">DE15/DD15*100</f>
        <v>#DIV/0!</v>
      </c>
      <c r="DG15" s="298"/>
      <c r="DH15" s="298"/>
      <c r="DI15" s="298"/>
      <c r="DJ15" s="298"/>
      <c r="DK15" s="298"/>
      <c r="DL15" s="298"/>
      <c r="DM15" s="300">
        <f>DP15+EE15+EH15+EK15+EN15+EQ15+ET15+EW15+EZ15</f>
        <v>60977.588550000008</v>
      </c>
      <c r="DN15" s="300">
        <f t="shared" ref="DM15:DN29" si="44">DQ15+EF15+EI15+EL15+EO15+ER15+EU15+EX15+FA15</f>
        <v>37072.41648</v>
      </c>
      <c r="DO15" s="298">
        <f t="shared" ref="DO15:DO29" si="45">DN15/DM15*100</f>
        <v>60.796790036394434</v>
      </c>
      <c r="DP15" s="305">
        <f>DS15+DV15+DY15+EB15</f>
        <v>2166.48621</v>
      </c>
      <c r="DQ15" s="305">
        <f t="shared" ref="DP15:DQ29" si="46">DT15+DW15+DZ15+EC15</f>
        <v>1969.2427499999999</v>
      </c>
      <c r="DR15" s="298">
        <f t="shared" ref="DR15:DR29" si="47">DQ15/DP15*100</f>
        <v>90.895697415955397</v>
      </c>
      <c r="DS15" s="298">
        <f>Сун!C60</f>
        <v>2123.1742100000001</v>
      </c>
      <c r="DT15" s="298">
        <f>Сун!D60</f>
        <v>1956.93075</v>
      </c>
      <c r="DU15" s="298">
        <f t="shared" ref="DU15:DU29" si="48">DT15/DS15*100</f>
        <v>92.170050897519147</v>
      </c>
      <c r="DV15" s="298">
        <f>Сун!C63</f>
        <v>0</v>
      </c>
      <c r="DW15" s="298">
        <f>Сун!D63</f>
        <v>0</v>
      </c>
      <c r="DX15" s="298" t="e">
        <f t="shared" ref="DX15:DX29" si="49">DW15/DV15*100</f>
        <v>#DIV/0!</v>
      </c>
      <c r="DY15" s="298">
        <f>Сун!C64</f>
        <v>1</v>
      </c>
      <c r="DZ15" s="298">
        <f>Сун!D64</f>
        <v>0</v>
      </c>
      <c r="EA15" s="298">
        <f t="shared" ref="EA15:EA29" si="50">DZ15/DY15*100</f>
        <v>0</v>
      </c>
      <c r="EB15" s="298">
        <f>Сун!C65</f>
        <v>42.311999999999998</v>
      </c>
      <c r="EC15" s="298">
        <f>Сун!D65</f>
        <v>12.311999999999999</v>
      </c>
      <c r="ED15" s="298">
        <f t="shared" ref="ED15:ED29" si="51">EC15/EB15*100</f>
        <v>29.098128190584234</v>
      </c>
      <c r="EE15" s="298">
        <f>Сун!C67</f>
        <v>273.28600999999998</v>
      </c>
      <c r="EF15" s="298">
        <f>Сун!D67</f>
        <v>273.28600999999998</v>
      </c>
      <c r="EG15" s="298">
        <f t="shared" ref="EG15:EG31" si="52">EF15/EE15*100</f>
        <v>100</v>
      </c>
      <c r="EH15" s="298">
        <f>Сун!C68</f>
        <v>16.631340000000002</v>
      </c>
      <c r="EI15" s="298">
        <f>Сун!D68</f>
        <v>16.631340000000002</v>
      </c>
      <c r="EJ15" s="298">
        <f t="shared" ref="EJ15:EJ31" si="53">EI15/EH15*100</f>
        <v>100</v>
      </c>
      <c r="EK15" s="305">
        <f>Сун!C74</f>
        <v>2844.9801499999999</v>
      </c>
      <c r="EL15" s="305">
        <f>Сун!D74</f>
        <v>2513.65515</v>
      </c>
      <c r="EM15" s="298">
        <f t="shared" ref="EM15:EM29" si="54">EL15/EK15*100</f>
        <v>88.354048797141886</v>
      </c>
      <c r="EN15" s="305">
        <f>Сун!C79</f>
        <v>52464.654540000003</v>
      </c>
      <c r="EO15" s="305">
        <f>Сун!D79</f>
        <v>29146.558089999999</v>
      </c>
      <c r="EP15" s="298">
        <f t="shared" ref="EP15:EP29" si="55">EO15/EN15*100</f>
        <v>55.554655501978253</v>
      </c>
      <c r="EQ15" s="305">
        <f>Сун!C84</f>
        <v>3211.5502999999999</v>
      </c>
      <c r="ER15" s="310">
        <f>Сун!D84</f>
        <v>3153.0431400000002</v>
      </c>
      <c r="ES15" s="298">
        <f t="shared" si="12"/>
        <v>98.178226883134926</v>
      </c>
      <c r="ET15" s="298">
        <f>Сун!C87</f>
        <v>0</v>
      </c>
      <c r="EU15" s="298">
        <f>Сун!D87</f>
        <v>0</v>
      </c>
      <c r="EV15" s="298" t="e">
        <f t="shared" si="13"/>
        <v>#DIV/0!</v>
      </c>
      <c r="EW15" s="311">
        <f>Сун!C92</f>
        <v>0</v>
      </c>
      <c r="EX15" s="311">
        <f>Сун!D92</f>
        <v>0</v>
      </c>
      <c r="EY15" s="298" t="e">
        <f t="shared" ref="EY15:EY29" si="56">EX15/EW15*100</f>
        <v>#DIV/0!</v>
      </c>
      <c r="EZ15" s="298">
        <f>Сун!C98</f>
        <v>0</v>
      </c>
      <c r="FA15" s="298">
        <f>Сун!D98</f>
        <v>0</v>
      </c>
      <c r="FB15" s="291" t="e">
        <f>FA15/EZ15*100</f>
        <v>#DIV/0!</v>
      </c>
      <c r="FC15" s="418">
        <f t="shared" si="14"/>
        <v>-1794.7397900000069</v>
      </c>
      <c r="FD15" s="418">
        <f t="shared" si="15"/>
        <v>1929.6900700000042</v>
      </c>
      <c r="FE15" s="291">
        <f>FD15/FC15*100%</f>
        <v>-1.0751921146184633</v>
      </c>
      <c r="FF15" s="159"/>
      <c r="FG15" s="160"/>
      <c r="FI15" s="160"/>
    </row>
    <row r="16" spans="1:165" s="157" customFormat="1" ht="25.5" customHeight="1" x14ac:dyDescent="0.25">
      <c r="A16" s="331">
        <v>3</v>
      </c>
      <c r="B16" s="333" t="s">
        <v>284</v>
      </c>
      <c r="C16" s="312">
        <f t="shared" si="16"/>
        <v>18638.026560000002</v>
      </c>
      <c r="D16" s="290">
        <f t="shared" si="0"/>
        <v>17278.989310000001</v>
      </c>
      <c r="E16" s="298">
        <f t="shared" si="1"/>
        <v>92.7082556427047</v>
      </c>
      <c r="F16" s="292">
        <f t="shared" si="17"/>
        <v>3627.0881400000003</v>
      </c>
      <c r="G16" s="292">
        <f t="shared" si="3"/>
        <v>3559.9952499999999</v>
      </c>
      <c r="H16" s="298">
        <f t="shared" si="18"/>
        <v>98.150227195747149</v>
      </c>
      <c r="I16" s="291">
        <f t="shared" si="19"/>
        <v>2207.9700000000003</v>
      </c>
      <c r="J16" s="298"/>
      <c r="K16" s="298"/>
      <c r="L16" s="313">
        <f>Иль!C6</f>
        <v>120</v>
      </c>
      <c r="M16" s="382">
        <f>Иль!D6</f>
        <v>65.119870000000006</v>
      </c>
      <c r="N16" s="298">
        <f t="shared" si="20"/>
        <v>54.266558333333336</v>
      </c>
      <c r="O16" s="291">
        <f t="shared" si="4"/>
        <v>777.97</v>
      </c>
      <c r="P16" s="291">
        <f t="shared" si="5"/>
        <v>919.75250999999992</v>
      </c>
      <c r="Q16" s="298"/>
      <c r="R16" s="298">
        <f>Иль!C8</f>
        <v>290.18299999999999</v>
      </c>
      <c r="S16" s="298">
        <f>Иль!D8</f>
        <v>461.07841000000002</v>
      </c>
      <c r="T16" s="291">
        <f t="shared" si="21"/>
        <v>158.89228865922541</v>
      </c>
      <c r="U16" s="291">
        <f>Иль!C9</f>
        <v>3.1120000000000001</v>
      </c>
      <c r="V16" s="291">
        <f>Иль!D9</f>
        <v>2.4905499999999998</v>
      </c>
      <c r="W16" s="291">
        <f t="shared" si="22"/>
        <v>80.030526992287903</v>
      </c>
      <c r="X16" s="291">
        <f>Иль!C10</f>
        <v>484.67500000000001</v>
      </c>
      <c r="Y16" s="291">
        <f>Иль!D10</f>
        <v>509.08262999999999</v>
      </c>
      <c r="Z16" s="291">
        <f t="shared" si="23"/>
        <v>105.03587558673337</v>
      </c>
      <c r="AA16" s="291">
        <f>Иль!C11</f>
        <v>0</v>
      </c>
      <c r="AB16" s="295">
        <f>Иль!D11</f>
        <v>-52.899079999999998</v>
      </c>
      <c r="AC16" s="291" t="e">
        <f t="shared" si="24"/>
        <v>#DIV/0!</v>
      </c>
      <c r="AD16" s="305">
        <f>Иль!C13</f>
        <v>10</v>
      </c>
      <c r="AE16" s="305">
        <f>Иль!D13</f>
        <v>2.7930000000000001</v>
      </c>
      <c r="AF16" s="298">
        <f t="shared" si="25"/>
        <v>27.93</v>
      </c>
      <c r="AG16" s="305">
        <f>Иль!C15</f>
        <v>406</v>
      </c>
      <c r="AH16" s="297">
        <f>Иль!D15</f>
        <v>463.41651000000002</v>
      </c>
      <c r="AI16" s="298">
        <f t="shared" si="26"/>
        <v>114.14199753694582</v>
      </c>
      <c r="AJ16" s="305">
        <f>Иль!C16</f>
        <v>890</v>
      </c>
      <c r="AK16" s="305">
        <f>Иль!D16</f>
        <v>831.42898000000002</v>
      </c>
      <c r="AL16" s="298">
        <f t="shared" si="6"/>
        <v>93.418986516853934</v>
      </c>
      <c r="AM16" s="298">
        <f>Иль!C18</f>
        <v>4</v>
      </c>
      <c r="AN16" s="298">
        <f>Иль!D18</f>
        <v>3.05</v>
      </c>
      <c r="AO16" s="298">
        <f t="shared" si="27"/>
        <v>76.25</v>
      </c>
      <c r="AP16" s="298"/>
      <c r="AQ16" s="298"/>
      <c r="AR16" s="298" t="e">
        <f t="shared" si="7"/>
        <v>#DIV/0!</v>
      </c>
      <c r="AS16" s="305">
        <f>Иль!C27</f>
        <v>0</v>
      </c>
      <c r="AT16" s="305">
        <f>Иль!D27</f>
        <v>0</v>
      </c>
      <c r="AU16" s="298" t="e">
        <f t="shared" si="8"/>
        <v>#DIV/0!</v>
      </c>
      <c r="AV16" s="305">
        <f>Иль!C28</f>
        <v>250</v>
      </c>
      <c r="AW16" s="306">
        <f>Иль!D28</f>
        <v>284.21055999999999</v>
      </c>
      <c r="AX16" s="298">
        <f t="shared" si="28"/>
        <v>113.684224</v>
      </c>
      <c r="AY16" s="300">
        <f>Иль!C29</f>
        <v>20</v>
      </c>
      <c r="AZ16" s="306">
        <f>Иль!D29</f>
        <v>46.207650000000001</v>
      </c>
      <c r="BA16" s="298">
        <f t="shared" si="29"/>
        <v>231.03825000000003</v>
      </c>
      <c r="BB16" s="305"/>
      <c r="BC16" s="305"/>
      <c r="BD16" s="298" t="e">
        <f t="shared" si="30"/>
        <v>#DIV/0!</v>
      </c>
      <c r="BE16" s="298">
        <f>Иль!C30</f>
        <v>30</v>
      </c>
      <c r="BF16" s="301">
        <f>Иль!D30</f>
        <v>85.460000000000008</v>
      </c>
      <c r="BG16" s="298">
        <f t="shared" si="31"/>
        <v>284.86666666666667</v>
      </c>
      <c r="BH16" s="298"/>
      <c r="BI16" s="298"/>
      <c r="BJ16" s="298"/>
      <c r="BK16" s="298">
        <f>Иль!C35</f>
        <v>0</v>
      </c>
      <c r="BL16" s="298">
        <f>SUM(Иль!D33)</f>
        <v>0</v>
      </c>
      <c r="BM16" s="298" t="e">
        <f t="shared" si="32"/>
        <v>#DIV/0!</v>
      </c>
      <c r="BN16" s="298"/>
      <c r="BO16" s="298"/>
      <c r="BP16" s="298" t="e">
        <f t="shared" si="33"/>
        <v>#DIV/0!</v>
      </c>
      <c r="BQ16" s="298"/>
      <c r="BR16" s="298"/>
      <c r="BS16" s="298"/>
      <c r="BT16" s="298">
        <f>Иль!C36</f>
        <v>82.901759999999996</v>
      </c>
      <c r="BU16" s="298">
        <f>Иль!D36</f>
        <v>85.202449999999999</v>
      </c>
      <c r="BV16" s="291">
        <f t="shared" si="34"/>
        <v>102.77520043000294</v>
      </c>
      <c r="BW16" s="298">
        <f>SUM(Иль!C39)</f>
        <v>1036.2163800000001</v>
      </c>
      <c r="BX16" s="298">
        <f>Иль!D39</f>
        <v>773.35371999999995</v>
      </c>
      <c r="BY16" s="298">
        <f t="shared" si="35"/>
        <v>74.632454661641219</v>
      </c>
      <c r="BZ16" s="298"/>
      <c r="CA16" s="298"/>
      <c r="CB16" s="307" t="e">
        <f t="shared" si="36"/>
        <v>#DIV/0!</v>
      </c>
      <c r="CC16" s="307"/>
      <c r="CD16" s="307"/>
      <c r="CE16" s="307" t="e">
        <f t="shared" si="37"/>
        <v>#DIV/0!</v>
      </c>
      <c r="CF16" s="296">
        <f>CI16+CL16+CO16+CR16+CX16+CU16</f>
        <v>15010.93842</v>
      </c>
      <c r="CG16" s="296">
        <f t="shared" si="39"/>
        <v>13718.994060000001</v>
      </c>
      <c r="CH16" s="298">
        <f>CG16/CF16*100</f>
        <v>91.393313836537615</v>
      </c>
      <c r="CI16" s="298">
        <f>Иль!C43</f>
        <v>2693</v>
      </c>
      <c r="CJ16" s="298">
        <f>Иль!D43</f>
        <v>2693</v>
      </c>
      <c r="CK16" s="298">
        <f t="shared" si="40"/>
        <v>100</v>
      </c>
      <c r="CL16" s="298">
        <f>Иль!C44</f>
        <v>0</v>
      </c>
      <c r="CM16" s="389">
        <f>Иль!D44</f>
        <v>0</v>
      </c>
      <c r="CN16" s="298" t="e">
        <f t="shared" si="41"/>
        <v>#DIV/0!</v>
      </c>
      <c r="CO16" s="291">
        <f>Иль!C45</f>
        <v>10312.837320000001</v>
      </c>
      <c r="CP16" s="298">
        <f>Иль!D45</f>
        <v>9111.3296599999994</v>
      </c>
      <c r="CQ16" s="298">
        <f t="shared" si="9"/>
        <v>88.349397719385323</v>
      </c>
      <c r="CR16" s="298">
        <f>Иль!C47</f>
        <v>126.63952</v>
      </c>
      <c r="CS16" s="298">
        <f>Иль!D47</f>
        <v>126.63952</v>
      </c>
      <c r="CT16" s="298">
        <f t="shared" si="10"/>
        <v>100</v>
      </c>
      <c r="CU16" s="298">
        <f>Иль!C48</f>
        <v>1878.4615799999999</v>
      </c>
      <c r="CV16" s="298">
        <f>Иль!D48</f>
        <v>1788.0248799999999</v>
      </c>
      <c r="CW16" s="291">
        <f t="shared" si="42"/>
        <v>95.185597567558446</v>
      </c>
      <c r="CX16" s="309">
        <f>Иль!C49</f>
        <v>0</v>
      </c>
      <c r="CY16" s="298">
        <f>Иль!D49</f>
        <v>0</v>
      </c>
      <c r="CZ16" s="298" t="e">
        <f t="shared" si="11"/>
        <v>#DIV/0!</v>
      </c>
      <c r="DA16" s="298"/>
      <c r="DB16" s="298"/>
      <c r="DC16" s="298"/>
      <c r="DD16" s="305"/>
      <c r="DE16" s="305"/>
      <c r="DF16" s="298" t="e">
        <f t="shared" si="43"/>
        <v>#DIV/0!</v>
      </c>
      <c r="DG16" s="298"/>
      <c r="DH16" s="298"/>
      <c r="DI16" s="298"/>
      <c r="DJ16" s="298"/>
      <c r="DK16" s="298"/>
      <c r="DL16" s="298">
        <v>0</v>
      </c>
      <c r="DM16" s="300">
        <f t="shared" si="44"/>
        <v>19744.993429999999</v>
      </c>
      <c r="DN16" s="300">
        <f t="shared" si="44"/>
        <v>17806.486950000002</v>
      </c>
      <c r="DO16" s="298">
        <f t="shared" si="45"/>
        <v>90.182288553944602</v>
      </c>
      <c r="DP16" s="305">
        <f t="shared" si="46"/>
        <v>1513.7356600000001</v>
      </c>
      <c r="DQ16" s="305">
        <f t="shared" si="46"/>
        <v>1451.2435</v>
      </c>
      <c r="DR16" s="298">
        <f t="shared" si="47"/>
        <v>95.871659652914559</v>
      </c>
      <c r="DS16" s="298">
        <f>Иль!C58</f>
        <v>1501.3076599999999</v>
      </c>
      <c r="DT16" s="298">
        <f>Иль!D58</f>
        <v>1439.8154999999999</v>
      </c>
      <c r="DU16" s="298">
        <f t="shared" si="48"/>
        <v>95.904093368843533</v>
      </c>
      <c r="DV16" s="298">
        <f>Иль!C61</f>
        <v>0</v>
      </c>
      <c r="DW16" s="298">
        <f>Иль!D61</f>
        <v>0</v>
      </c>
      <c r="DX16" s="298" t="e">
        <f t="shared" si="49"/>
        <v>#DIV/0!</v>
      </c>
      <c r="DY16" s="298">
        <f>Иль!C62</f>
        <v>1</v>
      </c>
      <c r="DZ16" s="298">
        <f>Иль!D62</f>
        <v>0</v>
      </c>
      <c r="EA16" s="298">
        <f t="shared" si="50"/>
        <v>0</v>
      </c>
      <c r="EB16" s="298">
        <f>Иль!C63</f>
        <v>11.428000000000001</v>
      </c>
      <c r="EC16" s="298">
        <f>Иль!D63</f>
        <v>11.428000000000001</v>
      </c>
      <c r="ED16" s="298">
        <f t="shared" si="51"/>
        <v>100</v>
      </c>
      <c r="EE16" s="298">
        <f>Иль!C65</f>
        <v>112.34692</v>
      </c>
      <c r="EF16" s="298">
        <f>Иль!D65</f>
        <v>112.34692</v>
      </c>
      <c r="EG16" s="298">
        <f t="shared" si="52"/>
        <v>100</v>
      </c>
      <c r="EH16" s="298">
        <f>Иль!C66</f>
        <v>27.511340000000001</v>
      </c>
      <c r="EI16" s="298">
        <f>Иль!D66</f>
        <v>27.511340000000001</v>
      </c>
      <c r="EJ16" s="298">
        <f t="shared" si="53"/>
        <v>100</v>
      </c>
      <c r="EK16" s="305">
        <f>Иль!C72</f>
        <v>10038.50814</v>
      </c>
      <c r="EL16" s="305">
        <f>Иль!D72</f>
        <v>9454.438180000001</v>
      </c>
      <c r="EM16" s="298">
        <f t="shared" si="54"/>
        <v>94.181705569648528</v>
      </c>
      <c r="EN16" s="305">
        <f>Иль!C79</f>
        <v>5947.4370499999995</v>
      </c>
      <c r="EO16" s="305">
        <f>Иль!D79</f>
        <v>4655.49269</v>
      </c>
      <c r="EP16" s="298">
        <f t="shared" si="55"/>
        <v>78.277292401102429</v>
      </c>
      <c r="EQ16" s="305">
        <f>Иль!C83</f>
        <v>2099.4523199999999</v>
      </c>
      <c r="ER16" s="310">
        <f>Иль!D83</f>
        <v>2099.4523199999999</v>
      </c>
      <c r="ES16" s="298">
        <f t="shared" si="12"/>
        <v>100</v>
      </c>
      <c r="ET16" s="298">
        <f>Иль!C85</f>
        <v>0</v>
      </c>
      <c r="EU16" s="298">
        <f>Иль!D85</f>
        <v>0</v>
      </c>
      <c r="EV16" s="298" t="e">
        <f t="shared" si="13"/>
        <v>#DIV/0!</v>
      </c>
      <c r="EW16" s="311">
        <f>Иль!C90</f>
        <v>6.0019999999999998</v>
      </c>
      <c r="EX16" s="311">
        <f>Иль!D90</f>
        <v>6.0019999999999998</v>
      </c>
      <c r="EY16" s="298">
        <f t="shared" si="56"/>
        <v>100</v>
      </c>
      <c r="EZ16" s="298">
        <f>Иль!C96</f>
        <v>0</v>
      </c>
      <c r="FA16" s="298">
        <f>Иль!D96</f>
        <v>0</v>
      </c>
      <c r="FB16" s="291" t="e">
        <f t="shared" ref="FB16:FB29" si="57">FA16/EZ16*100</f>
        <v>#DIV/0!</v>
      </c>
      <c r="FC16" s="418">
        <f t="shared" si="14"/>
        <v>-1106.9668699999966</v>
      </c>
      <c r="FD16" s="418">
        <f t="shared" si="15"/>
        <v>-527.49764000000141</v>
      </c>
      <c r="FE16" s="291">
        <f>FD16/FC16*100</f>
        <v>47.652522789593789</v>
      </c>
      <c r="FF16" s="159"/>
      <c r="FG16" s="160"/>
      <c r="FI16" s="160"/>
    </row>
    <row r="17" spans="1:176" s="157" customFormat="1" ht="22.5" customHeight="1" x14ac:dyDescent="0.25">
      <c r="A17" s="331">
        <v>4</v>
      </c>
      <c r="B17" s="333" t="s">
        <v>285</v>
      </c>
      <c r="C17" s="312">
        <f t="shared" si="16"/>
        <v>12995.164870000001</v>
      </c>
      <c r="D17" s="290">
        <f t="shared" si="0"/>
        <v>14657.815819999998</v>
      </c>
      <c r="E17" s="298">
        <f t="shared" si="1"/>
        <v>112.79438134592898</v>
      </c>
      <c r="F17" s="292">
        <f t="shared" si="17"/>
        <v>6189.3122600000006</v>
      </c>
      <c r="G17" s="292">
        <f t="shared" si="3"/>
        <v>7851.963209999999</v>
      </c>
      <c r="H17" s="298">
        <f t="shared" si="18"/>
        <v>126.86325847130546</v>
      </c>
      <c r="I17" s="291">
        <f t="shared" si="19"/>
        <v>5123.3099999999995</v>
      </c>
      <c r="J17" s="298"/>
      <c r="K17" s="298"/>
      <c r="L17" s="305">
        <f>Кад!C6</f>
        <v>594</v>
      </c>
      <c r="M17" s="383">
        <f>Кад!D6</f>
        <v>769.03701000000001</v>
      </c>
      <c r="N17" s="298">
        <f t="shared" si="20"/>
        <v>129.46751010101011</v>
      </c>
      <c r="O17" s="291">
        <f t="shared" si="4"/>
        <v>971.31</v>
      </c>
      <c r="P17" s="291">
        <f t="shared" si="5"/>
        <v>1094.3040700000001</v>
      </c>
      <c r="Q17" s="298"/>
      <c r="R17" s="298">
        <f>Кад!C8</f>
        <v>390.95299999999997</v>
      </c>
      <c r="S17" s="298">
        <f>Кад!D8</f>
        <v>548.58234000000004</v>
      </c>
      <c r="T17" s="291">
        <f t="shared" si="21"/>
        <v>140.31925576731732</v>
      </c>
      <c r="U17" s="291">
        <f>Кад!C9</f>
        <v>3.702</v>
      </c>
      <c r="V17" s="291">
        <f>Кад!D9</f>
        <v>2.9632000000000001</v>
      </c>
      <c r="W17" s="291">
        <f t="shared" si="22"/>
        <v>80.043219881145333</v>
      </c>
      <c r="X17" s="291">
        <f>Кад!C10</f>
        <v>576.65499999999997</v>
      </c>
      <c r="Y17" s="291">
        <f>Кад!D10</f>
        <v>605.69683999999995</v>
      </c>
      <c r="Z17" s="291">
        <f t="shared" si="23"/>
        <v>105.0362591150688</v>
      </c>
      <c r="AA17" s="291">
        <f>Кад!C11</f>
        <v>0</v>
      </c>
      <c r="AB17" s="295">
        <f>Кад!D11</f>
        <v>-62.938310000000001</v>
      </c>
      <c r="AC17" s="291" t="e">
        <f t="shared" si="24"/>
        <v>#DIV/0!</v>
      </c>
      <c r="AD17" s="305">
        <f>Кад!C13</f>
        <v>75</v>
      </c>
      <c r="AE17" s="305">
        <f>Кад!D13</f>
        <v>139.50817000000001</v>
      </c>
      <c r="AF17" s="298">
        <f t="shared" si="25"/>
        <v>186.01089333333334</v>
      </c>
      <c r="AG17" s="305">
        <f>Кад!C15</f>
        <v>473</v>
      </c>
      <c r="AH17" s="297">
        <f>Кад!D15</f>
        <v>558.89953000000003</v>
      </c>
      <c r="AI17" s="298">
        <f t="shared" si="26"/>
        <v>118.16057716701904</v>
      </c>
      <c r="AJ17" s="305">
        <f>Кад!C16</f>
        <v>3000</v>
      </c>
      <c r="AK17" s="305">
        <f>Кад!D16</f>
        <v>3263.7216800000001</v>
      </c>
      <c r="AL17" s="298">
        <f t="shared" si="6"/>
        <v>108.79072266666667</v>
      </c>
      <c r="AM17" s="298">
        <f>Кад!C18</f>
        <v>10</v>
      </c>
      <c r="AN17" s="298">
        <f>Кад!D18</f>
        <v>7.4</v>
      </c>
      <c r="AO17" s="298">
        <f t="shared" si="27"/>
        <v>74</v>
      </c>
      <c r="AP17" s="298"/>
      <c r="AQ17" s="298"/>
      <c r="AR17" s="298" t="e">
        <f t="shared" si="7"/>
        <v>#DIV/0!</v>
      </c>
      <c r="AS17" s="305">
        <v>0</v>
      </c>
      <c r="AT17" s="305">
        <v>0</v>
      </c>
      <c r="AU17" s="298" t="e">
        <f t="shared" si="8"/>
        <v>#DIV/0!</v>
      </c>
      <c r="AV17" s="305">
        <f>Кад!C27</f>
        <v>200</v>
      </c>
      <c r="AW17" s="306">
        <f>Кад!D27</f>
        <v>247.834</v>
      </c>
      <c r="AX17" s="298">
        <f t="shared" si="28"/>
        <v>123.91700000000002</v>
      </c>
      <c r="AY17" s="300">
        <f>Кад!C28</f>
        <v>12</v>
      </c>
      <c r="AZ17" s="306">
        <f>Кад!D28</f>
        <v>18</v>
      </c>
      <c r="BA17" s="298">
        <f t="shared" si="29"/>
        <v>150</v>
      </c>
      <c r="BB17" s="305"/>
      <c r="BC17" s="305"/>
      <c r="BD17" s="298" t="e">
        <f t="shared" si="30"/>
        <v>#DIV/0!</v>
      </c>
      <c r="BE17" s="298">
        <f>Кад!C30</f>
        <v>30</v>
      </c>
      <c r="BF17" s="301">
        <f>Кад!D30</f>
        <v>80.341700000000003</v>
      </c>
      <c r="BG17" s="298">
        <f t="shared" si="31"/>
        <v>267.8056666666667</v>
      </c>
      <c r="BH17" s="298"/>
      <c r="BI17" s="298"/>
      <c r="BJ17" s="298"/>
      <c r="BK17" s="298">
        <f>Кад!C33</f>
        <v>0</v>
      </c>
      <c r="BL17" s="298">
        <f>Кад!D33</f>
        <v>0</v>
      </c>
      <c r="BM17" s="298" t="e">
        <f t="shared" si="32"/>
        <v>#DIV/0!</v>
      </c>
      <c r="BN17" s="298"/>
      <c r="BO17" s="298"/>
      <c r="BP17" s="298" t="e">
        <f t="shared" si="33"/>
        <v>#DIV/0!</v>
      </c>
      <c r="BQ17" s="298"/>
      <c r="BR17" s="298"/>
      <c r="BS17" s="298"/>
      <c r="BT17" s="298">
        <f>Кад!C34</f>
        <v>0</v>
      </c>
      <c r="BU17" s="298">
        <f>Кад!D34</f>
        <v>15.28323</v>
      </c>
      <c r="BV17" s="291" t="e">
        <f t="shared" si="34"/>
        <v>#DIV/0!</v>
      </c>
      <c r="BW17" s="298">
        <f>Кад!C36</f>
        <v>824.00225999999998</v>
      </c>
      <c r="BX17" s="298">
        <f>Кад!D36</f>
        <v>1657.63382</v>
      </c>
      <c r="BY17" s="298">
        <f t="shared" si="35"/>
        <v>201.16860116378808</v>
      </c>
      <c r="BZ17" s="298"/>
      <c r="CA17" s="298"/>
      <c r="CB17" s="307" t="e">
        <f t="shared" si="36"/>
        <v>#DIV/0!</v>
      </c>
      <c r="CC17" s="307"/>
      <c r="CD17" s="307"/>
      <c r="CE17" s="307" t="e">
        <f t="shared" si="37"/>
        <v>#DIV/0!</v>
      </c>
      <c r="CF17" s="296">
        <f t="shared" si="38"/>
        <v>6805.852609999999</v>
      </c>
      <c r="CG17" s="296">
        <f>CJ17+CM17+CP17+CS17+CY17+CV17+DB17</f>
        <v>6805.852609999999</v>
      </c>
      <c r="CH17" s="298">
        <f>CG17/CF17*100</f>
        <v>100</v>
      </c>
      <c r="CI17" s="298">
        <f>Кад!C41</f>
        <v>2418.1</v>
      </c>
      <c r="CJ17" s="298">
        <f>Кад!D41</f>
        <v>2418.1</v>
      </c>
      <c r="CK17" s="298">
        <f t="shared" si="40"/>
        <v>100</v>
      </c>
      <c r="CL17" s="298">
        <f>Кад!C42</f>
        <v>0</v>
      </c>
      <c r="CM17" s="389">
        <f>Кад!D42</f>
        <v>0</v>
      </c>
      <c r="CN17" s="298" t="e">
        <f t="shared" si="41"/>
        <v>#DIV/0!</v>
      </c>
      <c r="CO17" s="291">
        <f>Кад!C43</f>
        <v>3774.8609999999999</v>
      </c>
      <c r="CP17" s="298">
        <f>Кад!D43</f>
        <v>3774.8609999999999</v>
      </c>
      <c r="CQ17" s="298">
        <f t="shared" si="9"/>
        <v>100</v>
      </c>
      <c r="CR17" s="298">
        <f>Кад!C45</f>
        <v>280.75860999999998</v>
      </c>
      <c r="CS17" s="298">
        <f>Кад!D45</f>
        <v>280.75860999999998</v>
      </c>
      <c r="CT17" s="298">
        <f t="shared" si="10"/>
        <v>100</v>
      </c>
      <c r="CU17" s="298">
        <f>Кад!C46</f>
        <v>332.13299999999998</v>
      </c>
      <c r="CV17" s="298">
        <f>Кад!D46</f>
        <v>332.13299999999998</v>
      </c>
      <c r="CW17" s="291">
        <f t="shared" si="42"/>
        <v>100</v>
      </c>
      <c r="CX17" s="309">
        <f>Кад!C47</f>
        <v>0</v>
      </c>
      <c r="CY17" s="298">
        <f>Кад!D47</f>
        <v>0</v>
      </c>
      <c r="CZ17" s="298" t="e">
        <f t="shared" si="11"/>
        <v>#DIV/0!</v>
      </c>
      <c r="DA17" s="298"/>
      <c r="DB17" s="298"/>
      <c r="DC17" s="298"/>
      <c r="DD17" s="305"/>
      <c r="DE17" s="305"/>
      <c r="DF17" s="298" t="e">
        <f t="shared" si="43"/>
        <v>#DIV/0!</v>
      </c>
      <c r="DG17" s="298"/>
      <c r="DH17" s="298"/>
      <c r="DI17" s="298"/>
      <c r="DJ17" s="298"/>
      <c r="DK17" s="298"/>
      <c r="DL17" s="298"/>
      <c r="DM17" s="300">
        <f t="shared" si="44"/>
        <v>15075.563150000002</v>
      </c>
      <c r="DN17" s="300">
        <f t="shared" si="44"/>
        <v>14810.0149</v>
      </c>
      <c r="DO17" s="298">
        <f t="shared" si="45"/>
        <v>98.238551705446568</v>
      </c>
      <c r="DP17" s="305">
        <f t="shared" si="46"/>
        <v>2356.4079999999999</v>
      </c>
      <c r="DQ17" s="305">
        <f t="shared" si="46"/>
        <v>2283.46083</v>
      </c>
      <c r="DR17" s="298">
        <f t="shared" si="47"/>
        <v>96.904306469847342</v>
      </c>
      <c r="DS17" s="298">
        <f>Кад!C57</f>
        <v>2223.308</v>
      </c>
      <c r="DT17" s="298">
        <f>Кад!D57</f>
        <v>2161.1443300000001</v>
      </c>
      <c r="DU17" s="298">
        <f t="shared" si="48"/>
        <v>97.204000975123563</v>
      </c>
      <c r="DV17" s="298">
        <f>Кад!C60</f>
        <v>0</v>
      </c>
      <c r="DW17" s="298">
        <f>Кад!D60</f>
        <v>0</v>
      </c>
      <c r="DX17" s="298" t="e">
        <f t="shared" si="49"/>
        <v>#DIV/0!</v>
      </c>
      <c r="DY17" s="298">
        <f>Кад!C61</f>
        <v>10</v>
      </c>
      <c r="DZ17" s="298">
        <f>Кад!D61</f>
        <v>0</v>
      </c>
      <c r="EA17" s="298">
        <f t="shared" si="50"/>
        <v>0</v>
      </c>
      <c r="EB17" s="298">
        <f>Кад!C62</f>
        <v>123.1</v>
      </c>
      <c r="EC17" s="298">
        <f>Кад!D62</f>
        <v>122.3165</v>
      </c>
      <c r="ED17" s="298">
        <f t="shared" si="51"/>
        <v>99.363525588952086</v>
      </c>
      <c r="EE17" s="298">
        <f>Кад!C64</f>
        <v>280.75860999999998</v>
      </c>
      <c r="EF17" s="298">
        <f>Кад!D64</f>
        <v>280.75860999999998</v>
      </c>
      <c r="EG17" s="298">
        <f t="shared" si="52"/>
        <v>100</v>
      </c>
      <c r="EH17" s="298">
        <f>Кад!C65</f>
        <v>7.8</v>
      </c>
      <c r="EI17" s="298">
        <f>Кад!D65</f>
        <v>7.6313399999999998</v>
      </c>
      <c r="EJ17" s="298">
        <f t="shared" si="53"/>
        <v>97.837692307692308</v>
      </c>
      <c r="EK17" s="305">
        <f>Кад!C71</f>
        <v>5183.3580400000001</v>
      </c>
      <c r="EL17" s="305">
        <f>Кад!D71</f>
        <v>5128.8054899999997</v>
      </c>
      <c r="EM17" s="298">
        <f t="shared" si="54"/>
        <v>98.947544244888775</v>
      </c>
      <c r="EN17" s="305">
        <f>Кад!C76</f>
        <v>4934.9865</v>
      </c>
      <c r="EO17" s="305">
        <f>Кад!D76</f>
        <v>4797.1322</v>
      </c>
      <c r="EP17" s="298">
        <f t="shared" si="55"/>
        <v>97.206592155824552</v>
      </c>
      <c r="EQ17" s="305">
        <f>Кад!C80</f>
        <v>2312.252</v>
      </c>
      <c r="ER17" s="310">
        <f>Кад!D80</f>
        <v>2312.2264300000002</v>
      </c>
      <c r="ES17" s="298">
        <f t="shared" si="12"/>
        <v>99.998894151675515</v>
      </c>
      <c r="ET17" s="298">
        <f>Кад!C82</f>
        <v>0</v>
      </c>
      <c r="EU17" s="298">
        <f>Кад!D82</f>
        <v>0</v>
      </c>
      <c r="EV17" s="298" t="e">
        <f t="shared" si="13"/>
        <v>#DIV/0!</v>
      </c>
      <c r="EW17" s="311">
        <f>Кад!C87</f>
        <v>0</v>
      </c>
      <c r="EX17" s="311">
        <f>Кад!D87</f>
        <v>0</v>
      </c>
      <c r="EY17" s="298" t="e">
        <f t="shared" si="56"/>
        <v>#DIV/0!</v>
      </c>
      <c r="EZ17" s="298">
        <f>Кад!C93</f>
        <v>0</v>
      </c>
      <c r="FA17" s="298">
        <f>Кад!D93</f>
        <v>0</v>
      </c>
      <c r="FB17" s="291" t="e">
        <f t="shared" si="57"/>
        <v>#DIV/0!</v>
      </c>
      <c r="FC17" s="418">
        <f t="shared" si="14"/>
        <v>-2080.3982800000013</v>
      </c>
      <c r="FD17" s="418">
        <f t="shared" si="15"/>
        <v>-152.19908000000214</v>
      </c>
      <c r="FE17" s="291">
        <f>FD17/FC17*100</f>
        <v>7.3158626145375427</v>
      </c>
      <c r="FF17" s="159"/>
      <c r="FG17" s="160"/>
      <c r="FI17" s="160"/>
    </row>
    <row r="18" spans="1:176" s="169" customFormat="1" ht="20.25" customHeight="1" x14ac:dyDescent="0.25">
      <c r="A18" s="334">
        <v>5</v>
      </c>
      <c r="B18" s="335" t="s">
        <v>286</v>
      </c>
      <c r="C18" s="314">
        <f t="shared" si="16"/>
        <v>29606.026700000006</v>
      </c>
      <c r="D18" s="315">
        <f t="shared" si="0"/>
        <v>17652.122979999996</v>
      </c>
      <c r="E18" s="301">
        <f t="shared" si="1"/>
        <v>59.623410999625939</v>
      </c>
      <c r="F18" s="292">
        <f t="shared" si="17"/>
        <v>5994.76811</v>
      </c>
      <c r="G18" s="316">
        <f t="shared" si="3"/>
        <v>6126.543639999999</v>
      </c>
      <c r="H18" s="301">
        <f t="shared" si="18"/>
        <v>102.19817560215851</v>
      </c>
      <c r="I18" s="291">
        <f t="shared" si="19"/>
        <v>5784.1004000000003</v>
      </c>
      <c r="J18" s="301"/>
      <c r="K18" s="301"/>
      <c r="L18" s="294">
        <f>Мор!C6</f>
        <v>2181</v>
      </c>
      <c r="M18" s="382">
        <f>Мор!D6</f>
        <v>2334.3494999999998</v>
      </c>
      <c r="N18" s="301">
        <f t="shared" si="20"/>
        <v>107.03115543328747</v>
      </c>
      <c r="O18" s="291">
        <f t="shared" si="4"/>
        <v>557.10040000000004</v>
      </c>
      <c r="P18" s="291">
        <f t="shared" si="5"/>
        <v>540.43851999999993</v>
      </c>
      <c r="Q18" s="301"/>
      <c r="R18" s="301">
        <f>Мор!C8</f>
        <v>270.49939999999998</v>
      </c>
      <c r="S18" s="301">
        <f>Мор!D8</f>
        <v>270.92563000000001</v>
      </c>
      <c r="T18" s="301">
        <f t="shared" si="21"/>
        <v>100.15757151402185</v>
      </c>
      <c r="U18" s="301">
        <f>Мор!C9</f>
        <v>1.8280000000000001</v>
      </c>
      <c r="V18" s="301">
        <f>Мор!D9</f>
        <v>1.4634100000000001</v>
      </c>
      <c r="W18" s="301">
        <f t="shared" si="22"/>
        <v>80.055251641137858</v>
      </c>
      <c r="X18" s="301">
        <f>Мор!C10</f>
        <v>284.77300000000002</v>
      </c>
      <c r="Y18" s="301">
        <f>Мор!D10</f>
        <v>299.13249999999999</v>
      </c>
      <c r="Z18" s="301">
        <f t="shared" si="23"/>
        <v>105.04243730971685</v>
      </c>
      <c r="AA18" s="301">
        <f>Мор!C11</f>
        <v>0</v>
      </c>
      <c r="AB18" s="317">
        <f>Мор!D11</f>
        <v>-31.083020000000001</v>
      </c>
      <c r="AC18" s="301" t="e">
        <f t="shared" si="24"/>
        <v>#DIV/0!</v>
      </c>
      <c r="AD18" s="300">
        <f>Мор!C13</f>
        <v>80</v>
      </c>
      <c r="AE18" s="300">
        <f>Мор!D13</f>
        <v>53.986499999999999</v>
      </c>
      <c r="AF18" s="301">
        <f t="shared" si="25"/>
        <v>67.483125000000001</v>
      </c>
      <c r="AG18" s="300">
        <f>Мор!C15</f>
        <v>1266</v>
      </c>
      <c r="AH18" s="297">
        <f>Мор!D15</f>
        <v>1456.0142499999999</v>
      </c>
      <c r="AI18" s="301">
        <f t="shared" si="26"/>
        <v>115.00902448657186</v>
      </c>
      <c r="AJ18" s="300">
        <f>Мор!C16</f>
        <v>1700</v>
      </c>
      <c r="AK18" s="300">
        <f>Мор!D16</f>
        <v>981.05989</v>
      </c>
      <c r="AL18" s="301">
        <f t="shared" si="6"/>
        <v>57.709405294117644</v>
      </c>
      <c r="AM18" s="301">
        <f>Мор!C18</f>
        <v>0</v>
      </c>
      <c r="AN18" s="301">
        <f>Мор!D18</f>
        <v>0</v>
      </c>
      <c r="AO18" s="301" t="e">
        <f t="shared" si="27"/>
        <v>#DIV/0!</v>
      </c>
      <c r="AP18" s="301">
        <f>Мор!C22</f>
        <v>0</v>
      </c>
      <c r="AQ18" s="301">
        <f>Мор!D22</f>
        <v>0</v>
      </c>
      <c r="AR18" s="301" t="e">
        <f t="shared" si="7"/>
        <v>#DIV/0!</v>
      </c>
      <c r="AS18" s="300">
        <v>0</v>
      </c>
      <c r="AT18" s="300"/>
      <c r="AU18" s="301" t="e">
        <f t="shared" si="8"/>
        <v>#DIV/0!</v>
      </c>
      <c r="AV18" s="300">
        <f>Мор!C27</f>
        <v>0</v>
      </c>
      <c r="AW18" s="306">
        <f>Мор!D27</f>
        <v>0</v>
      </c>
      <c r="AX18" s="301" t="e">
        <f t="shared" si="28"/>
        <v>#DIV/0!</v>
      </c>
      <c r="AY18" s="300">
        <f>Мор!C28</f>
        <v>0</v>
      </c>
      <c r="AZ18" s="297">
        <f>Мор!D28</f>
        <v>0</v>
      </c>
      <c r="BA18" s="301" t="e">
        <f t="shared" si="29"/>
        <v>#DIV/0!</v>
      </c>
      <c r="BB18" s="300"/>
      <c r="BC18" s="300"/>
      <c r="BD18" s="301" t="e">
        <f t="shared" si="30"/>
        <v>#DIV/0!</v>
      </c>
      <c r="BE18" s="301">
        <f>Мор!C29</f>
        <v>0</v>
      </c>
      <c r="BF18" s="301">
        <f>Мор!D29</f>
        <v>70</v>
      </c>
      <c r="BG18" s="301" t="e">
        <f t="shared" si="31"/>
        <v>#DIV/0!</v>
      </c>
      <c r="BH18" s="301"/>
      <c r="BI18" s="301"/>
      <c r="BJ18" s="301"/>
      <c r="BK18" s="301">
        <f>Мор!C33</f>
        <v>0</v>
      </c>
      <c r="BL18" s="301">
        <f>SUM(Мор!D31)</f>
        <v>15.811</v>
      </c>
      <c r="BM18" s="301" t="e">
        <f>Мор!E33</f>
        <v>#DIV/0!</v>
      </c>
      <c r="BN18" s="301">
        <f>Мор!F33</f>
        <v>0</v>
      </c>
      <c r="BO18" s="301">
        <f>Мор!G33</f>
        <v>0</v>
      </c>
      <c r="BP18" s="301">
        <f>Мор!H33</f>
        <v>0</v>
      </c>
      <c r="BQ18" s="301">
        <f>Мор!I33</f>
        <v>0</v>
      </c>
      <c r="BR18" s="301">
        <f>Мор!J33</f>
        <v>0</v>
      </c>
      <c r="BS18" s="301">
        <f>Мор!K33</f>
        <v>0</v>
      </c>
      <c r="BT18" s="301">
        <f>Мор!C34</f>
        <v>0</v>
      </c>
      <c r="BU18" s="301">
        <f>Мор!D34</f>
        <v>0</v>
      </c>
      <c r="BV18" s="291" t="e">
        <f t="shared" si="34"/>
        <v>#DIV/0!</v>
      </c>
      <c r="BW18" s="301">
        <f>Мор!C36</f>
        <v>210.66771</v>
      </c>
      <c r="BX18" s="301">
        <f>Мор!D36</f>
        <v>674.88397999999995</v>
      </c>
      <c r="BY18" s="301">
        <f t="shared" si="35"/>
        <v>320.35473305329987</v>
      </c>
      <c r="BZ18" s="301"/>
      <c r="CA18" s="301"/>
      <c r="CB18" s="318" t="e">
        <f t="shared" si="36"/>
        <v>#DIV/0!</v>
      </c>
      <c r="CC18" s="318"/>
      <c r="CD18" s="318"/>
      <c r="CE18" s="318" t="e">
        <f t="shared" si="37"/>
        <v>#DIV/0!</v>
      </c>
      <c r="CF18" s="300">
        <f t="shared" si="38"/>
        <v>23611.258590000005</v>
      </c>
      <c r="CG18" s="296">
        <f t="shared" si="39"/>
        <v>11525.579339999998</v>
      </c>
      <c r="CH18" s="301">
        <f t="shared" ref="CH18:CH31" si="58">CG18/CF18*100</f>
        <v>48.813913481432905</v>
      </c>
      <c r="CI18" s="301">
        <f>Мор!C41</f>
        <v>8286.2999999999993</v>
      </c>
      <c r="CJ18" s="301">
        <f>Мор!D41</f>
        <v>8286.2999999999993</v>
      </c>
      <c r="CK18" s="301">
        <f t="shared" si="40"/>
        <v>100</v>
      </c>
      <c r="CL18" s="301">
        <f>Мор!C42</f>
        <v>0</v>
      </c>
      <c r="CM18" s="390">
        <f>Мор!D42</f>
        <v>0</v>
      </c>
      <c r="CN18" s="301" t="e">
        <f t="shared" si="41"/>
        <v>#DIV/0!</v>
      </c>
      <c r="CO18" s="301">
        <f>Мор!C43</f>
        <v>12879.85619</v>
      </c>
      <c r="CP18" s="301">
        <f>Мор!D43</f>
        <v>1640.2046399999999</v>
      </c>
      <c r="CQ18" s="301">
        <f t="shared" si="9"/>
        <v>12.734650261650165</v>
      </c>
      <c r="CR18" s="301">
        <f>Мор!C45</f>
        <v>64.344399999999993</v>
      </c>
      <c r="CS18" s="301">
        <f>Мор!D45</f>
        <v>64.316699999999997</v>
      </c>
      <c r="CT18" s="301">
        <f t="shared" si="10"/>
        <v>99.956950410602957</v>
      </c>
      <c r="CU18" s="301">
        <f>Мор!C46</f>
        <v>2380.7579999999998</v>
      </c>
      <c r="CV18" s="301">
        <f>Мор!D46</f>
        <v>1534.758</v>
      </c>
      <c r="CW18" s="291">
        <f t="shared" si="42"/>
        <v>64.465098930676717</v>
      </c>
      <c r="CX18" s="317">
        <f>Мор!C48</f>
        <v>0</v>
      </c>
      <c r="CY18" s="301">
        <f>Мор!D48</f>
        <v>0</v>
      </c>
      <c r="CZ18" s="301" t="e">
        <f t="shared" si="11"/>
        <v>#DIV/0!</v>
      </c>
      <c r="DA18" s="301"/>
      <c r="DB18" s="301">
        <f>SUM(Мор!D49)</f>
        <v>0</v>
      </c>
      <c r="DC18" s="301"/>
      <c r="DD18" s="300"/>
      <c r="DE18" s="300"/>
      <c r="DF18" s="301" t="e">
        <f t="shared" si="43"/>
        <v>#DIV/0!</v>
      </c>
      <c r="DG18" s="301"/>
      <c r="DH18" s="301"/>
      <c r="DI18" s="301"/>
      <c r="DJ18" s="301"/>
      <c r="DK18" s="301"/>
      <c r="DL18" s="301"/>
      <c r="DM18" s="300">
        <f t="shared" si="44"/>
        <v>31911.257020000001</v>
      </c>
      <c r="DN18" s="300">
        <f t="shared" si="44"/>
        <v>18988.433000000001</v>
      </c>
      <c r="DO18" s="301">
        <f t="shared" si="45"/>
        <v>59.503870336725463</v>
      </c>
      <c r="DP18" s="300">
        <f t="shared" si="46"/>
        <v>2428.6605100000002</v>
      </c>
      <c r="DQ18" s="300">
        <f t="shared" si="46"/>
        <v>2288.1988799999999</v>
      </c>
      <c r="DR18" s="301">
        <f t="shared" si="47"/>
        <v>94.216497965786075</v>
      </c>
      <c r="DS18" s="301">
        <f>Мор!C58</f>
        <v>2389.4525100000001</v>
      </c>
      <c r="DT18" s="301">
        <f>Мор!D58</f>
        <v>2268.9908799999998</v>
      </c>
      <c r="DU18" s="301">
        <f t="shared" si="48"/>
        <v>94.958609577053267</v>
      </c>
      <c r="DV18" s="301">
        <f>Мор!C61</f>
        <v>0</v>
      </c>
      <c r="DW18" s="301">
        <f>Мор!D61</f>
        <v>0</v>
      </c>
      <c r="DX18" s="301" t="e">
        <f t="shared" si="49"/>
        <v>#DIV/0!</v>
      </c>
      <c r="DY18" s="301">
        <f>Мор!C62</f>
        <v>10</v>
      </c>
      <c r="DZ18" s="301">
        <f>Мор!D62</f>
        <v>0</v>
      </c>
      <c r="EA18" s="301">
        <f t="shared" si="50"/>
        <v>0</v>
      </c>
      <c r="EB18" s="301">
        <f>Мор!C63</f>
        <v>29.207999999999998</v>
      </c>
      <c r="EC18" s="301">
        <f>Мор!D63</f>
        <v>19.207999999999998</v>
      </c>
      <c r="ED18" s="301">
        <f t="shared" si="51"/>
        <v>65.762804711038072</v>
      </c>
      <c r="EE18" s="301">
        <f>Мор!C64</f>
        <v>0</v>
      </c>
      <c r="EF18" s="301">
        <f>Мор!D64</f>
        <v>0</v>
      </c>
      <c r="EG18" s="301" t="e">
        <f t="shared" si="52"/>
        <v>#DIV/0!</v>
      </c>
      <c r="EH18" s="301">
        <f>Мор!C66</f>
        <v>15</v>
      </c>
      <c r="EI18" s="301">
        <f>Мор!D66</f>
        <v>9.9</v>
      </c>
      <c r="EJ18" s="301">
        <f t="shared" si="53"/>
        <v>66</v>
      </c>
      <c r="EK18" s="300">
        <f>Мор!C72</f>
        <v>3588.0214699999997</v>
      </c>
      <c r="EL18" s="300">
        <f>Мор!D72</f>
        <v>3506.3091199999999</v>
      </c>
      <c r="EM18" s="301">
        <f t="shared" si="54"/>
        <v>97.722634864835413</v>
      </c>
      <c r="EN18" s="300">
        <f>Мор!C77</f>
        <v>19062.27504</v>
      </c>
      <c r="EO18" s="300">
        <f>Мор!D77</f>
        <v>6375.7250000000004</v>
      </c>
      <c r="EP18" s="301">
        <f t="shared" si="55"/>
        <v>33.446820941473518</v>
      </c>
      <c r="EQ18" s="300">
        <f>Мор!C81</f>
        <v>6815.3</v>
      </c>
      <c r="ER18" s="319">
        <f>Мор!D81</f>
        <v>6808.3</v>
      </c>
      <c r="ES18" s="301">
        <f t="shared" si="12"/>
        <v>99.897289921206706</v>
      </c>
      <c r="ET18" s="301">
        <f>Мор!C84</f>
        <v>0</v>
      </c>
      <c r="EU18" s="301">
        <f>Мор!D84</f>
        <v>0</v>
      </c>
      <c r="EV18" s="301" t="e">
        <f t="shared" si="13"/>
        <v>#DIV/0!</v>
      </c>
      <c r="EW18" s="316">
        <f>Мор!C89</f>
        <v>2</v>
      </c>
      <c r="EX18" s="316">
        <f>Мор!D89</f>
        <v>0</v>
      </c>
      <c r="EY18" s="301">
        <f t="shared" si="56"/>
        <v>0</v>
      </c>
      <c r="EZ18" s="301">
        <f>Мор!C95</f>
        <v>0</v>
      </c>
      <c r="FA18" s="301">
        <f>Мор!D95</f>
        <v>0</v>
      </c>
      <c r="FB18" s="301" t="e">
        <f t="shared" si="57"/>
        <v>#DIV/0!</v>
      </c>
      <c r="FC18" s="419">
        <f t="shared" si="14"/>
        <v>-2305.2303199999951</v>
      </c>
      <c r="FD18" s="419">
        <f t="shared" si="15"/>
        <v>-1336.3100200000044</v>
      </c>
      <c r="FE18" s="301">
        <f t="shared" ref="FE18:FE29" si="59">FD18/FC18*100</f>
        <v>57.968612004027754</v>
      </c>
      <c r="FF18" s="167"/>
      <c r="FG18" s="168"/>
      <c r="FI18" s="168"/>
    </row>
    <row r="19" spans="1:176" s="250" customFormat="1" ht="27.75" customHeight="1" x14ac:dyDescent="0.25">
      <c r="A19" s="336">
        <v>6</v>
      </c>
      <c r="B19" s="333" t="s">
        <v>287</v>
      </c>
      <c r="C19" s="312">
        <f t="shared" si="16"/>
        <v>22750.406780000001</v>
      </c>
      <c r="D19" s="290">
        <f t="shared" si="0"/>
        <v>22342.56235</v>
      </c>
      <c r="E19" s="298">
        <f t="shared" si="1"/>
        <v>98.207309284867208</v>
      </c>
      <c r="F19" s="292">
        <f t="shared" si="17"/>
        <v>7887.6425799999997</v>
      </c>
      <c r="G19" s="311">
        <f t="shared" si="3"/>
        <v>7596.2189599999992</v>
      </c>
      <c r="H19" s="298">
        <f t="shared" si="18"/>
        <v>96.305314077758325</v>
      </c>
      <c r="I19" s="291">
        <f t="shared" si="19"/>
        <v>5621.4025799999999</v>
      </c>
      <c r="J19" s="298"/>
      <c r="K19" s="298"/>
      <c r="L19" s="305">
        <f>Мос!C6</f>
        <v>1704</v>
      </c>
      <c r="M19" s="383">
        <f>Мос!D6</f>
        <v>1630.09545</v>
      </c>
      <c r="N19" s="298">
        <f t="shared" si="20"/>
        <v>95.662878521126757</v>
      </c>
      <c r="O19" s="291">
        <f t="shared" si="4"/>
        <v>960.31</v>
      </c>
      <c r="P19" s="291">
        <f t="shared" si="5"/>
        <v>1017.0985900000002</v>
      </c>
      <c r="Q19" s="298"/>
      <c r="R19" s="298">
        <f>Мос!C8</f>
        <v>420.89600000000002</v>
      </c>
      <c r="S19" s="298">
        <f>Мос!D8</f>
        <v>509.87867</v>
      </c>
      <c r="T19" s="298">
        <f t="shared" si="21"/>
        <v>121.14124866950505</v>
      </c>
      <c r="U19" s="298">
        <f>Мос!C9</f>
        <v>3.4409999999999998</v>
      </c>
      <c r="V19" s="298">
        <f>Мос!D9</f>
        <v>2.7541500000000001</v>
      </c>
      <c r="W19" s="298">
        <f t="shared" si="22"/>
        <v>80.039232781168266</v>
      </c>
      <c r="X19" s="298">
        <f>Мос!C10</f>
        <v>535.97299999999996</v>
      </c>
      <c r="Y19" s="298">
        <f>Мос!D10</f>
        <v>562.96364000000005</v>
      </c>
      <c r="Z19" s="298">
        <f t="shared" si="23"/>
        <v>105.03582083425846</v>
      </c>
      <c r="AA19" s="298">
        <f>Мос!C11</f>
        <v>0</v>
      </c>
      <c r="AB19" s="309">
        <f>Мос!D11</f>
        <v>-58.497869999999999</v>
      </c>
      <c r="AC19" s="298" t="e">
        <f t="shared" si="24"/>
        <v>#DIV/0!</v>
      </c>
      <c r="AD19" s="305">
        <f>Мос!C13</f>
        <v>60</v>
      </c>
      <c r="AE19" s="305">
        <f>Мос!D13</f>
        <v>58.41</v>
      </c>
      <c r="AF19" s="298">
        <f t="shared" si="25"/>
        <v>97.35</v>
      </c>
      <c r="AG19" s="305">
        <f>Мос!C15</f>
        <v>999</v>
      </c>
      <c r="AH19" s="297">
        <f>Мос!D15</f>
        <v>581.25049000000001</v>
      </c>
      <c r="AI19" s="298">
        <f t="shared" si="26"/>
        <v>58.183232232232228</v>
      </c>
      <c r="AJ19" s="305">
        <f>Мос!C16</f>
        <v>1890.09258</v>
      </c>
      <c r="AK19" s="305">
        <f>Мос!D16</f>
        <v>1943.6411900000001</v>
      </c>
      <c r="AL19" s="298">
        <f t="shared" si="6"/>
        <v>102.83312101040045</v>
      </c>
      <c r="AM19" s="298">
        <f>Мос!C18</f>
        <v>8</v>
      </c>
      <c r="AN19" s="298">
        <f>Мос!D18</f>
        <v>3.7</v>
      </c>
      <c r="AO19" s="298">
        <f t="shared" si="27"/>
        <v>46.25</v>
      </c>
      <c r="AP19" s="298"/>
      <c r="AQ19" s="298"/>
      <c r="AR19" s="298" t="e">
        <f t="shared" si="7"/>
        <v>#DIV/0!</v>
      </c>
      <c r="AS19" s="305">
        <f>Мос!C27</f>
        <v>0</v>
      </c>
      <c r="AT19" s="305">
        <v>0</v>
      </c>
      <c r="AU19" s="298" t="e">
        <f t="shared" si="8"/>
        <v>#DIV/0!</v>
      </c>
      <c r="AV19" s="305">
        <v>0</v>
      </c>
      <c r="AW19" s="306">
        <f>Мос!D27</f>
        <v>27.3</v>
      </c>
      <c r="AX19" s="298" t="e">
        <f t="shared" si="28"/>
        <v>#DIV/0!</v>
      </c>
      <c r="AY19" s="305">
        <f>Мос!C26</f>
        <v>0</v>
      </c>
      <c r="AZ19" s="306">
        <f>Мос!D28</f>
        <v>0</v>
      </c>
      <c r="BA19" s="298" t="e">
        <f t="shared" si="29"/>
        <v>#DIV/0!</v>
      </c>
      <c r="BB19" s="305"/>
      <c r="BC19" s="305"/>
      <c r="BD19" s="298" t="e">
        <f t="shared" si="30"/>
        <v>#DIV/0!</v>
      </c>
      <c r="BE19" s="298">
        <f>Мос!C30</f>
        <v>0</v>
      </c>
      <c r="BF19" s="301">
        <f>Мос!D30</f>
        <v>0.39237</v>
      </c>
      <c r="BG19" s="298" t="e">
        <f t="shared" si="31"/>
        <v>#DIV/0!</v>
      </c>
      <c r="BH19" s="298"/>
      <c r="BI19" s="298"/>
      <c r="BJ19" s="298"/>
      <c r="BK19" s="298">
        <f>SUM(Мос!C31)</f>
        <v>1366.24</v>
      </c>
      <c r="BL19" s="298">
        <f>Мос!D31</f>
        <v>1366.24</v>
      </c>
      <c r="BM19" s="298">
        <f t="shared" si="32"/>
        <v>100</v>
      </c>
      <c r="BN19" s="298"/>
      <c r="BO19" s="298"/>
      <c r="BP19" s="298" t="e">
        <f t="shared" si="33"/>
        <v>#DIV/0!</v>
      </c>
      <c r="BQ19" s="298"/>
      <c r="BR19" s="298"/>
      <c r="BS19" s="298"/>
      <c r="BT19" s="298">
        <f>Мос!C34</f>
        <v>0</v>
      </c>
      <c r="BU19" s="298">
        <f>Мос!D35</f>
        <v>10.480639999999999</v>
      </c>
      <c r="BV19" s="291" t="e">
        <f t="shared" si="34"/>
        <v>#DIV/0!</v>
      </c>
      <c r="BW19" s="298">
        <f>Мос!C36</f>
        <v>900</v>
      </c>
      <c r="BX19" s="298">
        <f>Мос!D36</f>
        <v>957.61023</v>
      </c>
      <c r="BY19" s="298">
        <f t="shared" si="35"/>
        <v>106.40113666666666</v>
      </c>
      <c r="BZ19" s="298"/>
      <c r="CA19" s="298"/>
      <c r="CB19" s="307" t="e">
        <f t="shared" si="36"/>
        <v>#DIV/0!</v>
      </c>
      <c r="CC19" s="307"/>
      <c r="CD19" s="307"/>
      <c r="CE19" s="307" t="e">
        <f t="shared" si="37"/>
        <v>#DIV/0!</v>
      </c>
      <c r="CF19" s="305">
        <f t="shared" si="38"/>
        <v>14862.764200000001</v>
      </c>
      <c r="CG19" s="305">
        <f t="shared" si="39"/>
        <v>14746.343390000002</v>
      </c>
      <c r="CH19" s="298">
        <f t="shared" si="58"/>
        <v>99.216694765298115</v>
      </c>
      <c r="CI19" s="298">
        <f>SUM(Мос!C41)</f>
        <v>1479.2</v>
      </c>
      <c r="CJ19" s="298">
        <f>SUM(Мос!D41)</f>
        <v>1479.2</v>
      </c>
      <c r="CK19" s="298">
        <f>CJ19/CI19*100</f>
        <v>100</v>
      </c>
      <c r="CL19" s="298">
        <f>Мос!C42</f>
        <v>0</v>
      </c>
      <c r="CM19" s="389">
        <f>Мос!D42</f>
        <v>0</v>
      </c>
      <c r="CN19" s="298" t="e">
        <f t="shared" si="41"/>
        <v>#DIV/0!</v>
      </c>
      <c r="CO19" s="298">
        <f>Мос!C43</f>
        <v>9585.9362700000001</v>
      </c>
      <c r="CP19" s="298">
        <f>Мос!D43</f>
        <v>9480.7693099999997</v>
      </c>
      <c r="CQ19" s="298">
        <f t="shared" si="9"/>
        <v>98.902903617989523</v>
      </c>
      <c r="CR19" s="298">
        <f>Мос!C45</f>
        <v>100.99429000000001</v>
      </c>
      <c r="CS19" s="298">
        <f>Мос!D45</f>
        <v>100.99429000000001</v>
      </c>
      <c r="CT19" s="298">
        <f t="shared" si="10"/>
        <v>100</v>
      </c>
      <c r="CU19" s="298">
        <f>Мос!C46</f>
        <v>3696.63364</v>
      </c>
      <c r="CV19" s="298">
        <f>Мос!D46</f>
        <v>3685.37979</v>
      </c>
      <c r="CW19" s="291">
        <f t="shared" si="42"/>
        <v>99.695564908617769</v>
      </c>
      <c r="CX19" s="309">
        <f>Мос!C51</f>
        <v>0</v>
      </c>
      <c r="CY19" s="298">
        <f>Мос!D51</f>
        <v>0</v>
      </c>
      <c r="CZ19" s="298" t="e">
        <f t="shared" si="11"/>
        <v>#DIV/0!</v>
      </c>
      <c r="DA19" s="298"/>
      <c r="DB19" s="298"/>
      <c r="DC19" s="298"/>
      <c r="DD19" s="305"/>
      <c r="DE19" s="305"/>
      <c r="DF19" s="298" t="e">
        <f t="shared" si="43"/>
        <v>#DIV/0!</v>
      </c>
      <c r="DG19" s="298"/>
      <c r="DH19" s="298"/>
      <c r="DI19" s="298"/>
      <c r="DJ19" s="298"/>
      <c r="DK19" s="298"/>
      <c r="DL19" s="298"/>
      <c r="DM19" s="300">
        <f t="shared" si="44"/>
        <v>23503.717489999999</v>
      </c>
      <c r="DN19" s="300">
        <f t="shared" si="44"/>
        <v>22321.863880000001</v>
      </c>
      <c r="DO19" s="298">
        <f t="shared" si="45"/>
        <v>94.971631145146134</v>
      </c>
      <c r="DP19" s="305">
        <f t="shared" si="46"/>
        <v>2831.9647500000001</v>
      </c>
      <c r="DQ19" s="305">
        <f t="shared" si="46"/>
        <v>2787.7168799999999</v>
      </c>
      <c r="DR19" s="298">
        <f t="shared" si="47"/>
        <v>98.437555764068037</v>
      </c>
      <c r="DS19" s="298">
        <f>Мос!C59</f>
        <v>2660.6980800000001</v>
      </c>
      <c r="DT19" s="298">
        <f>Мос!D59</f>
        <v>2617.45021</v>
      </c>
      <c r="DU19" s="298">
        <f t="shared" si="48"/>
        <v>98.374566797898382</v>
      </c>
      <c r="DV19" s="298">
        <f>Мос!C62</f>
        <v>0</v>
      </c>
      <c r="DW19" s="298">
        <f>Мос!D62</f>
        <v>0</v>
      </c>
      <c r="DX19" s="298" t="e">
        <f t="shared" si="49"/>
        <v>#DIV/0!</v>
      </c>
      <c r="DY19" s="298">
        <f>Мос!C63</f>
        <v>1</v>
      </c>
      <c r="DZ19" s="298">
        <f>Мос!D63</f>
        <v>0</v>
      </c>
      <c r="EA19" s="298">
        <f t="shared" si="50"/>
        <v>0</v>
      </c>
      <c r="EB19" s="298">
        <f>Мос!C64</f>
        <v>170.26667</v>
      </c>
      <c r="EC19" s="298">
        <f>Мос!D64</f>
        <v>170.26667</v>
      </c>
      <c r="ED19" s="298">
        <f t="shared" si="51"/>
        <v>100</v>
      </c>
      <c r="EE19" s="298">
        <f>Мос!C66</f>
        <v>100.99429000000001</v>
      </c>
      <c r="EF19" s="298">
        <f>Мос!D66</f>
        <v>100.99429000000001</v>
      </c>
      <c r="EG19" s="298">
        <f t="shared" si="52"/>
        <v>100</v>
      </c>
      <c r="EH19" s="298">
        <f>Мос!C67</f>
        <v>10.5</v>
      </c>
      <c r="EI19" s="298">
        <f>Мос!D67</f>
        <v>8</v>
      </c>
      <c r="EJ19" s="298">
        <f t="shared" si="53"/>
        <v>76.19047619047619</v>
      </c>
      <c r="EK19" s="305">
        <f>Мос!C73</f>
        <v>4577.6575700000003</v>
      </c>
      <c r="EL19" s="305">
        <f>Мос!D73</f>
        <v>4574.0727299999999</v>
      </c>
      <c r="EM19" s="298">
        <f t="shared" si="54"/>
        <v>99.92168833196493</v>
      </c>
      <c r="EN19" s="305">
        <f>Мос!C78</f>
        <v>14680.54888</v>
      </c>
      <c r="EO19" s="305">
        <f>Мос!D78</f>
        <v>14467.794980000001</v>
      </c>
      <c r="EP19" s="298">
        <f t="shared" si="55"/>
        <v>98.550776937980544</v>
      </c>
      <c r="EQ19" s="305">
        <f>Мос!C83</f>
        <v>1263.0519999999999</v>
      </c>
      <c r="ER19" s="310">
        <f>Мос!D83</f>
        <v>344.28500000000003</v>
      </c>
      <c r="ES19" s="298">
        <f t="shared" si="12"/>
        <v>27.258180977505287</v>
      </c>
      <c r="ET19" s="298">
        <f>Мос!C88</f>
        <v>4</v>
      </c>
      <c r="EU19" s="298">
        <f>Мос!D88</f>
        <v>4</v>
      </c>
      <c r="EV19" s="298">
        <f t="shared" si="13"/>
        <v>100</v>
      </c>
      <c r="EW19" s="311">
        <f>Мос!C93</f>
        <v>35</v>
      </c>
      <c r="EX19" s="311">
        <f>Мос!D93</f>
        <v>35</v>
      </c>
      <c r="EY19" s="298">
        <f t="shared" si="56"/>
        <v>100</v>
      </c>
      <c r="EZ19" s="298">
        <f>Мос!C99</f>
        <v>0</v>
      </c>
      <c r="FA19" s="298">
        <f>Мос!D99</f>
        <v>0</v>
      </c>
      <c r="FB19" s="298" t="e">
        <f t="shared" si="57"/>
        <v>#DIV/0!</v>
      </c>
      <c r="FC19" s="419">
        <f t="shared" si="14"/>
        <v>-753.31070999999793</v>
      </c>
      <c r="FD19" s="420">
        <f t="shared" si="15"/>
        <v>20.698469999999361</v>
      </c>
      <c r="FE19" s="298">
        <f t="shared" si="59"/>
        <v>-2.7476670283898419</v>
      </c>
      <c r="FF19" s="248"/>
      <c r="FG19" s="249"/>
      <c r="FI19" s="249"/>
    </row>
    <row r="20" spans="1:176" s="157" customFormat="1" ht="24.75" customHeight="1" x14ac:dyDescent="0.25">
      <c r="A20" s="331">
        <v>7</v>
      </c>
      <c r="B20" s="333" t="s">
        <v>288</v>
      </c>
      <c r="C20" s="289">
        <f t="shared" si="16"/>
        <v>14425.71789</v>
      </c>
      <c r="D20" s="290">
        <f t="shared" si="0"/>
        <v>15213.79538</v>
      </c>
      <c r="E20" s="298">
        <f t="shared" si="1"/>
        <v>105.46300361624499</v>
      </c>
      <c r="F20" s="292">
        <f t="shared" si="17"/>
        <v>3258.4828500000003</v>
      </c>
      <c r="G20" s="292">
        <f t="shared" si="3"/>
        <v>4301.8335399999996</v>
      </c>
      <c r="H20" s="298">
        <f t="shared" si="18"/>
        <v>132.01952374860585</v>
      </c>
      <c r="I20" s="291">
        <f t="shared" si="19"/>
        <v>2301.8199999999997</v>
      </c>
      <c r="J20" s="298"/>
      <c r="K20" s="298"/>
      <c r="L20" s="313">
        <f>Ори!C6</f>
        <v>273</v>
      </c>
      <c r="M20" s="382">
        <f>Ори!D6</f>
        <v>323.16827000000001</v>
      </c>
      <c r="N20" s="298">
        <f t="shared" si="20"/>
        <v>118.37665567765568</v>
      </c>
      <c r="O20" s="291">
        <f t="shared" si="4"/>
        <v>550.81999999999994</v>
      </c>
      <c r="P20" s="291">
        <f t="shared" si="5"/>
        <v>651.2116299999999</v>
      </c>
      <c r="Q20" s="298"/>
      <c r="R20" s="298">
        <f>Ори!C8</f>
        <v>205.45599999999999</v>
      </c>
      <c r="S20" s="298">
        <f>Ори!D8</f>
        <v>326.45697999999999</v>
      </c>
      <c r="T20" s="291">
        <f t="shared" si="21"/>
        <v>158.89386535316567</v>
      </c>
      <c r="U20" s="291">
        <f>Ори!C9</f>
        <v>2.2029999999999998</v>
      </c>
      <c r="V20" s="291">
        <f>Ори!D9</f>
        <v>1.7633799999999999</v>
      </c>
      <c r="W20" s="291">
        <f t="shared" si="22"/>
        <v>80.044484793463468</v>
      </c>
      <c r="X20" s="291">
        <f>Ори!C10</f>
        <v>343.161</v>
      </c>
      <c r="Y20" s="291">
        <f>Ори!D10</f>
        <v>360.44537000000003</v>
      </c>
      <c r="Z20" s="291">
        <f t="shared" si="23"/>
        <v>105.03681070984175</v>
      </c>
      <c r="AA20" s="291">
        <f>Ори!C11</f>
        <v>0</v>
      </c>
      <c r="AB20" s="295">
        <f>Ори!D11</f>
        <v>-37.454099999999997</v>
      </c>
      <c r="AC20" s="291" t="e">
        <f t="shared" si="24"/>
        <v>#DIV/0!</v>
      </c>
      <c r="AD20" s="305">
        <f>Ори!C13</f>
        <v>10</v>
      </c>
      <c r="AE20" s="305">
        <f>Ори!D13</f>
        <v>3.70086</v>
      </c>
      <c r="AF20" s="298">
        <f t="shared" si="25"/>
        <v>37.008600000000001</v>
      </c>
      <c r="AG20" s="305">
        <f>Ори!C15</f>
        <v>360</v>
      </c>
      <c r="AH20" s="297">
        <f>Ори!D15</f>
        <v>371.22931</v>
      </c>
      <c r="AI20" s="298">
        <f t="shared" si="26"/>
        <v>103.11925277777777</v>
      </c>
      <c r="AJ20" s="305">
        <f>Ори!C16</f>
        <v>1100</v>
      </c>
      <c r="AK20" s="305">
        <f>Ори!D16</f>
        <v>1216.38869</v>
      </c>
      <c r="AL20" s="298">
        <f t="shared" si="6"/>
        <v>110.58079000000001</v>
      </c>
      <c r="AM20" s="298">
        <f>Ори!C18</f>
        <v>8</v>
      </c>
      <c r="AN20" s="298">
        <f>Ори!D18</f>
        <v>4.84</v>
      </c>
      <c r="AO20" s="298">
        <f t="shared" si="27"/>
        <v>60.5</v>
      </c>
      <c r="AP20" s="298"/>
      <c r="AQ20" s="298"/>
      <c r="AR20" s="298" t="e">
        <f t="shared" si="7"/>
        <v>#DIV/0!</v>
      </c>
      <c r="AS20" s="305">
        <v>0</v>
      </c>
      <c r="AT20" s="305">
        <v>0</v>
      </c>
      <c r="AU20" s="298" t="e">
        <f t="shared" si="8"/>
        <v>#DIV/0!</v>
      </c>
      <c r="AV20" s="305">
        <f>Ори!C27</f>
        <v>100</v>
      </c>
      <c r="AW20" s="306">
        <f>Ори!D27</f>
        <v>149.25879</v>
      </c>
      <c r="AX20" s="298">
        <f t="shared" si="28"/>
        <v>149.25879</v>
      </c>
      <c r="AY20" s="300">
        <f>Ори!C28</f>
        <v>30</v>
      </c>
      <c r="AZ20" s="306">
        <f>Ори!D28</f>
        <v>54.000749999999996</v>
      </c>
      <c r="BA20" s="298">
        <f t="shared" si="29"/>
        <v>180.0025</v>
      </c>
      <c r="BB20" s="305"/>
      <c r="BC20" s="305"/>
      <c r="BD20" s="298" t="e">
        <f t="shared" si="30"/>
        <v>#DIV/0!</v>
      </c>
      <c r="BE20" s="298">
        <f>Ори!C31</f>
        <v>50</v>
      </c>
      <c r="BF20" s="301">
        <f>Ори!D31</f>
        <v>63.020650000000003</v>
      </c>
      <c r="BG20" s="298">
        <f t="shared" si="31"/>
        <v>126.04130000000001</v>
      </c>
      <c r="BH20" s="298"/>
      <c r="BI20" s="298"/>
      <c r="BJ20" s="298"/>
      <c r="BK20" s="298">
        <f>Ори!C34</f>
        <v>0</v>
      </c>
      <c r="BL20" s="298">
        <f>SUM(Ори!D32)</f>
        <v>97.840500000000006</v>
      </c>
      <c r="BM20" s="298" t="e">
        <f t="shared" si="32"/>
        <v>#DIV/0!</v>
      </c>
      <c r="BN20" s="298"/>
      <c r="BO20" s="298"/>
      <c r="BP20" s="298" t="e">
        <f t="shared" si="33"/>
        <v>#DIV/0!</v>
      </c>
      <c r="BQ20" s="298"/>
      <c r="BR20" s="298"/>
      <c r="BS20" s="298"/>
      <c r="BT20" s="298">
        <f>Ори!C36</f>
        <v>0</v>
      </c>
      <c r="BU20" s="298">
        <f>Ори!D35</f>
        <v>218.01411999999999</v>
      </c>
      <c r="BV20" s="291" t="e">
        <f t="shared" si="34"/>
        <v>#DIV/0!</v>
      </c>
      <c r="BW20" s="298">
        <f>Ори!C37</f>
        <v>776.66285000000005</v>
      </c>
      <c r="BX20" s="298">
        <f>Ори!D37</f>
        <v>1149.1599699999999</v>
      </c>
      <c r="BY20" s="298">
        <f t="shared" si="35"/>
        <v>147.9612382644541</v>
      </c>
      <c r="BZ20" s="298"/>
      <c r="CA20" s="298"/>
      <c r="CB20" s="307" t="e">
        <f t="shared" si="36"/>
        <v>#DIV/0!</v>
      </c>
      <c r="CC20" s="307"/>
      <c r="CD20" s="307"/>
      <c r="CE20" s="307" t="e">
        <f t="shared" si="37"/>
        <v>#DIV/0!</v>
      </c>
      <c r="CF20" s="296">
        <f t="shared" si="38"/>
        <v>11167.23504</v>
      </c>
      <c r="CG20" s="296">
        <f t="shared" si="39"/>
        <v>10911.96184</v>
      </c>
      <c r="CH20" s="298">
        <f t="shared" si="58"/>
        <v>97.714087694172875</v>
      </c>
      <c r="CI20" s="298">
        <f>Ори!C42</f>
        <v>3478.3</v>
      </c>
      <c r="CJ20" s="298">
        <f>Ори!D42</f>
        <v>3478.3</v>
      </c>
      <c r="CK20" s="298">
        <f t="shared" si="40"/>
        <v>100</v>
      </c>
      <c r="CL20" s="298">
        <f>Ори!C43</f>
        <v>0</v>
      </c>
      <c r="CM20" s="389">
        <f>Ори!D43</f>
        <v>0</v>
      </c>
      <c r="CN20" s="298" t="e">
        <f t="shared" si="41"/>
        <v>#DIV/0!</v>
      </c>
      <c r="CO20" s="298">
        <f>Ори!C44</f>
        <v>5605.0820800000001</v>
      </c>
      <c r="CP20" s="298">
        <f>Ори!D44</f>
        <v>5434.8999400000002</v>
      </c>
      <c r="CQ20" s="298">
        <f t="shared" si="9"/>
        <v>96.963788619487985</v>
      </c>
      <c r="CR20" s="298">
        <f>Ори!C46</f>
        <v>278.29858999999999</v>
      </c>
      <c r="CS20" s="298">
        <f>Ори!D46</f>
        <v>278.29858999999999</v>
      </c>
      <c r="CT20" s="298">
        <f t="shared" si="10"/>
        <v>100</v>
      </c>
      <c r="CU20" s="298">
        <f>Ори!C47</f>
        <v>1805.5543700000001</v>
      </c>
      <c r="CV20" s="298">
        <f>Ори!D47</f>
        <v>1720.4633100000001</v>
      </c>
      <c r="CW20" s="291">
        <f t="shared" si="42"/>
        <v>95.287261274774011</v>
      </c>
      <c r="CX20" s="309">
        <f>Ори!C48</f>
        <v>0</v>
      </c>
      <c r="CY20" s="298">
        <f>Ори!D48</f>
        <v>0</v>
      </c>
      <c r="CZ20" s="298" t="e">
        <f t="shared" si="11"/>
        <v>#DIV/0!</v>
      </c>
      <c r="DA20" s="298"/>
      <c r="DB20" s="298"/>
      <c r="DC20" s="298"/>
      <c r="DD20" s="305"/>
      <c r="DE20" s="305"/>
      <c r="DF20" s="298" t="e">
        <f t="shared" si="43"/>
        <v>#DIV/0!</v>
      </c>
      <c r="DG20" s="298"/>
      <c r="DH20" s="298"/>
      <c r="DI20" s="298"/>
      <c r="DJ20" s="298"/>
      <c r="DK20" s="298"/>
      <c r="DL20" s="298"/>
      <c r="DM20" s="300">
        <f t="shared" si="44"/>
        <v>14735.899149999999</v>
      </c>
      <c r="DN20" s="300">
        <f t="shared" si="44"/>
        <v>13577.253279999999</v>
      </c>
      <c r="DO20" s="298">
        <f t="shared" si="45"/>
        <v>92.137257060421717</v>
      </c>
      <c r="DP20" s="305">
        <f t="shared" si="46"/>
        <v>1880.068</v>
      </c>
      <c r="DQ20" s="305">
        <f t="shared" si="46"/>
        <v>1734.7407799999999</v>
      </c>
      <c r="DR20" s="298">
        <f t="shared" si="47"/>
        <v>92.270108315231141</v>
      </c>
      <c r="DS20" s="298">
        <f>Ори!C59</f>
        <v>1853.566</v>
      </c>
      <c r="DT20" s="298">
        <f>Ори!D59</f>
        <v>1718.2387799999999</v>
      </c>
      <c r="DU20" s="298">
        <f t="shared" si="48"/>
        <v>92.699088136057725</v>
      </c>
      <c r="DV20" s="298">
        <f>Ори!C62</f>
        <v>0</v>
      </c>
      <c r="DW20" s="298">
        <f>Ори!D62</f>
        <v>0</v>
      </c>
      <c r="DX20" s="298" t="e">
        <f t="shared" si="49"/>
        <v>#DIV/0!</v>
      </c>
      <c r="DY20" s="298">
        <f>Ори!C63</f>
        <v>10</v>
      </c>
      <c r="DZ20" s="298">
        <f>Ори!D63</f>
        <v>0</v>
      </c>
      <c r="EA20" s="298">
        <f t="shared" si="50"/>
        <v>0</v>
      </c>
      <c r="EB20" s="298">
        <f>Ори!C64</f>
        <v>16.501999999999999</v>
      </c>
      <c r="EC20" s="298">
        <f>Ори!D64</f>
        <v>16.501999999999999</v>
      </c>
      <c r="ED20" s="298">
        <f t="shared" si="51"/>
        <v>100</v>
      </c>
      <c r="EE20" s="298">
        <f>Ори!C66</f>
        <v>264.00599</v>
      </c>
      <c r="EF20" s="298">
        <f>Ори!D66</f>
        <v>264.00599</v>
      </c>
      <c r="EG20" s="298">
        <f t="shared" si="52"/>
        <v>100</v>
      </c>
      <c r="EH20" s="298">
        <f>Ори!C67</f>
        <v>18.5</v>
      </c>
      <c r="EI20" s="298">
        <f>Ори!D67</f>
        <v>11.561340000000001</v>
      </c>
      <c r="EJ20" s="298">
        <f t="shared" si="53"/>
        <v>62.493729729729743</v>
      </c>
      <c r="EK20" s="305">
        <f>Ори!C73</f>
        <v>7933.1311699999997</v>
      </c>
      <c r="EL20" s="305">
        <f>Ори!D73</f>
        <v>7505.4548999999997</v>
      </c>
      <c r="EM20" s="298">
        <f t="shared" si="54"/>
        <v>94.608985269053605</v>
      </c>
      <c r="EN20" s="305">
        <f>Ори!C78</f>
        <v>2777.0939900000003</v>
      </c>
      <c r="EO20" s="305">
        <f>Ори!D78</f>
        <v>2203.6188700000002</v>
      </c>
      <c r="EP20" s="298">
        <f t="shared" si="55"/>
        <v>79.349812355468757</v>
      </c>
      <c r="EQ20" s="305">
        <f>Ори!C83</f>
        <v>1819.1</v>
      </c>
      <c r="ER20" s="310">
        <f>Ори!D83</f>
        <v>1813.8714</v>
      </c>
      <c r="ES20" s="298">
        <f t="shared" si="12"/>
        <v>99.712572151063711</v>
      </c>
      <c r="ET20" s="298">
        <f>Ори!C85</f>
        <v>0</v>
      </c>
      <c r="EU20" s="298">
        <f>Ори!D85</f>
        <v>0</v>
      </c>
      <c r="EV20" s="298" t="e">
        <f t="shared" si="13"/>
        <v>#DIV/0!</v>
      </c>
      <c r="EW20" s="311">
        <f>Ори!C90</f>
        <v>44</v>
      </c>
      <c r="EX20" s="311">
        <f>Ори!D90</f>
        <v>44</v>
      </c>
      <c r="EY20" s="298">
        <f t="shared" si="56"/>
        <v>100</v>
      </c>
      <c r="EZ20" s="298">
        <f>Ори!C96</f>
        <v>0</v>
      </c>
      <c r="FA20" s="298">
        <f>Ори!D96</f>
        <v>0</v>
      </c>
      <c r="FB20" s="291" t="e">
        <f t="shared" si="57"/>
        <v>#DIV/0!</v>
      </c>
      <c r="FC20" s="418">
        <f t="shared" si="14"/>
        <v>-310.18125999999938</v>
      </c>
      <c r="FD20" s="418">
        <f t="shared" si="15"/>
        <v>1636.5421000000006</v>
      </c>
      <c r="FE20" s="291">
        <f t="shared" si="59"/>
        <v>-527.60830876759087</v>
      </c>
      <c r="FF20" s="159"/>
      <c r="FG20" s="160"/>
      <c r="FI20" s="160"/>
      <c r="FL20" s="162"/>
      <c r="FM20" s="162"/>
      <c r="FN20" s="162"/>
      <c r="FO20" s="162"/>
      <c r="FP20" s="162"/>
      <c r="FQ20" s="162"/>
      <c r="FR20" s="162"/>
      <c r="FS20" s="162"/>
      <c r="FT20" s="162"/>
    </row>
    <row r="21" spans="1:176" s="157" customFormat="1" ht="24.75" customHeight="1" x14ac:dyDescent="0.25">
      <c r="A21" s="331">
        <v>8</v>
      </c>
      <c r="B21" s="333" t="s">
        <v>289</v>
      </c>
      <c r="C21" s="289">
        <f t="shared" si="16"/>
        <v>19228.123610000002</v>
      </c>
      <c r="D21" s="290">
        <f t="shared" si="0"/>
        <v>19214.441229999997</v>
      </c>
      <c r="E21" s="298">
        <f t="shared" si="1"/>
        <v>99.928841834608917</v>
      </c>
      <c r="F21" s="292">
        <f t="shared" si="17"/>
        <v>2608.9771700000001</v>
      </c>
      <c r="G21" s="292">
        <f t="shared" si="3"/>
        <v>2622.1947899999996</v>
      </c>
      <c r="H21" s="298">
        <f t="shared" si="18"/>
        <v>100.50662076126942</v>
      </c>
      <c r="I21" s="291">
        <f t="shared" si="19"/>
        <v>1933.92697</v>
      </c>
      <c r="J21" s="298"/>
      <c r="K21" s="298"/>
      <c r="L21" s="305">
        <f>Сят!C6</f>
        <v>162</v>
      </c>
      <c r="M21" s="383">
        <f>Сят!D6</f>
        <v>190.92481000000001</v>
      </c>
      <c r="N21" s="298">
        <f t="shared" si="20"/>
        <v>117.85482098765432</v>
      </c>
      <c r="O21" s="291">
        <f t="shared" si="4"/>
        <v>779.92696999999998</v>
      </c>
      <c r="P21" s="291">
        <f t="shared" si="5"/>
        <v>808.97937999999999</v>
      </c>
      <c r="Q21" s="298"/>
      <c r="R21" s="298">
        <f>Сят!C8</f>
        <v>350.88997000000001</v>
      </c>
      <c r="S21" s="298">
        <f>Сят!D8</f>
        <v>405.54705999999999</v>
      </c>
      <c r="T21" s="291">
        <f t="shared" si="21"/>
        <v>115.57670343213286</v>
      </c>
      <c r="U21" s="291">
        <f>Сят!C9</f>
        <v>2.7370000000000001</v>
      </c>
      <c r="V21" s="291">
        <f>Сят!D9</f>
        <v>2.1905800000000002</v>
      </c>
      <c r="W21" s="291">
        <f t="shared" si="22"/>
        <v>80.03580562659846</v>
      </c>
      <c r="X21" s="291">
        <f>Сят!C10</f>
        <v>426.3</v>
      </c>
      <c r="Y21" s="291">
        <f>Сят!D10</f>
        <v>447.76974999999999</v>
      </c>
      <c r="Z21" s="291">
        <f t="shared" si="23"/>
        <v>105.03630072718741</v>
      </c>
      <c r="AA21" s="291">
        <f>Сят!C11</f>
        <v>0</v>
      </c>
      <c r="AB21" s="295">
        <f>Сят!D11</f>
        <v>-46.528010000000002</v>
      </c>
      <c r="AC21" s="291" t="e">
        <f t="shared" si="24"/>
        <v>#DIV/0!</v>
      </c>
      <c r="AD21" s="305">
        <f>Сят!C13</f>
        <v>30</v>
      </c>
      <c r="AE21" s="305">
        <f>Сят!D13</f>
        <v>2.0487000000000002</v>
      </c>
      <c r="AF21" s="298">
        <f t="shared" si="25"/>
        <v>6.8290000000000006</v>
      </c>
      <c r="AG21" s="305">
        <f>Сят!C15</f>
        <v>198</v>
      </c>
      <c r="AH21" s="297">
        <f>Сят!D15</f>
        <v>199.17413999999999</v>
      </c>
      <c r="AI21" s="298">
        <f t="shared" si="26"/>
        <v>100.593</v>
      </c>
      <c r="AJ21" s="305">
        <f>Сят!C16</f>
        <v>760</v>
      </c>
      <c r="AK21" s="305">
        <f>Сят!D16</f>
        <v>715.00540000000001</v>
      </c>
      <c r="AL21" s="298">
        <f t="shared" si="6"/>
        <v>94.07965789473684</v>
      </c>
      <c r="AM21" s="298">
        <f>Сят!C18</f>
        <v>4</v>
      </c>
      <c r="AN21" s="298">
        <f>Сят!D18</f>
        <v>7.3</v>
      </c>
      <c r="AO21" s="298">
        <f t="shared" si="27"/>
        <v>182.5</v>
      </c>
      <c r="AP21" s="298">
        <f>Сят!C22</f>
        <v>0</v>
      </c>
      <c r="AQ21" s="298">
        <f>Сят!D20</f>
        <v>0</v>
      </c>
      <c r="AR21" s="298" t="e">
        <f t="shared" si="7"/>
        <v>#DIV/0!</v>
      </c>
      <c r="AS21" s="305">
        <v>0</v>
      </c>
      <c r="AT21" s="305">
        <v>0</v>
      </c>
      <c r="AU21" s="298" t="e">
        <f t="shared" si="8"/>
        <v>#DIV/0!</v>
      </c>
      <c r="AV21" s="305">
        <f>Сят!C27</f>
        <v>207.87064000000001</v>
      </c>
      <c r="AW21" s="306">
        <f>Сят!D27</f>
        <v>204.54</v>
      </c>
      <c r="AX21" s="298">
        <f t="shared" si="28"/>
        <v>98.397734283206134</v>
      </c>
      <c r="AY21" s="300">
        <f>Сят!C28</f>
        <v>6</v>
      </c>
      <c r="AZ21" s="306">
        <f>Сят!D28</f>
        <v>6.7737600000000002</v>
      </c>
      <c r="BA21" s="298">
        <f t="shared" si="29"/>
        <v>112.896</v>
      </c>
      <c r="BB21" s="305"/>
      <c r="BC21" s="305"/>
      <c r="BD21" s="298" t="e">
        <f t="shared" si="30"/>
        <v>#DIV/0!</v>
      </c>
      <c r="BE21" s="298">
        <f>Сят!C30</f>
        <v>10</v>
      </c>
      <c r="BF21" s="301">
        <f>Сят!D30</f>
        <v>7.5</v>
      </c>
      <c r="BG21" s="298">
        <f t="shared" si="31"/>
        <v>75</v>
      </c>
      <c r="BH21" s="298"/>
      <c r="BI21" s="298"/>
      <c r="BJ21" s="298"/>
      <c r="BK21" s="298">
        <f>Сят!C31</f>
        <v>13.4</v>
      </c>
      <c r="BL21" s="298">
        <f>SUM(Сят!D31)</f>
        <v>64.994699999999995</v>
      </c>
      <c r="BM21" s="298">
        <f t="shared" si="32"/>
        <v>485.03507462686565</v>
      </c>
      <c r="BN21" s="298"/>
      <c r="BO21" s="298"/>
      <c r="BP21" s="298" t="e">
        <f t="shared" si="33"/>
        <v>#DIV/0!</v>
      </c>
      <c r="BQ21" s="298"/>
      <c r="BR21" s="298"/>
      <c r="BS21" s="298"/>
      <c r="BT21" s="298">
        <f>Сят!C34</f>
        <v>0</v>
      </c>
      <c r="BU21" s="298">
        <f>Сят!D34</f>
        <v>0</v>
      </c>
      <c r="BV21" s="291" t="e">
        <f t="shared" si="34"/>
        <v>#DIV/0!</v>
      </c>
      <c r="BW21" s="298">
        <f>Сят!C36</f>
        <v>437.77956</v>
      </c>
      <c r="BX21" s="298">
        <f>Сят!D36</f>
        <v>414.95389999999998</v>
      </c>
      <c r="BY21" s="298">
        <f t="shared" si="35"/>
        <v>94.786037977652498</v>
      </c>
      <c r="BZ21" s="298"/>
      <c r="CA21" s="298"/>
      <c r="CB21" s="307" t="e">
        <f t="shared" si="36"/>
        <v>#DIV/0!</v>
      </c>
      <c r="CC21" s="307"/>
      <c r="CD21" s="307"/>
      <c r="CE21" s="307" t="e">
        <f t="shared" si="37"/>
        <v>#DIV/0!</v>
      </c>
      <c r="CF21" s="296">
        <f t="shared" si="38"/>
        <v>16619.14644</v>
      </c>
      <c r="CG21" s="296">
        <f t="shared" si="39"/>
        <v>16592.246439999999</v>
      </c>
      <c r="CH21" s="298">
        <f t="shared" si="58"/>
        <v>99.838138498284991</v>
      </c>
      <c r="CI21" s="298">
        <f>Сят!C41</f>
        <v>4849.2</v>
      </c>
      <c r="CJ21" s="298">
        <f>Сят!D41</f>
        <v>4849.2</v>
      </c>
      <c r="CK21" s="298">
        <f t="shared" si="40"/>
        <v>100</v>
      </c>
      <c r="CL21" s="298">
        <f>Сят!C42</f>
        <v>0</v>
      </c>
      <c r="CM21" s="389">
        <f>Сят!D42</f>
        <v>0</v>
      </c>
      <c r="CN21" s="298" t="e">
        <f t="shared" si="41"/>
        <v>#DIV/0!</v>
      </c>
      <c r="CO21" s="298">
        <f>Сят!C43</f>
        <v>10736.637360000001</v>
      </c>
      <c r="CP21" s="298">
        <f>Сят!D43</f>
        <v>10709.737359999999</v>
      </c>
      <c r="CQ21" s="298">
        <f t="shared" si="9"/>
        <v>99.749456006587138</v>
      </c>
      <c r="CR21" s="298">
        <f>Сят!C44</f>
        <v>266.97908999999999</v>
      </c>
      <c r="CS21" s="298">
        <f>Сят!D44</f>
        <v>266.97908999999999</v>
      </c>
      <c r="CT21" s="298">
        <f t="shared" si="10"/>
        <v>100</v>
      </c>
      <c r="CU21" s="298">
        <f>Сят!C48</f>
        <v>766.32998999999995</v>
      </c>
      <c r="CV21" s="298">
        <f>Сят!D48</f>
        <v>766.32998999999995</v>
      </c>
      <c r="CW21" s="291">
        <f t="shared" si="42"/>
        <v>100</v>
      </c>
      <c r="CX21" s="309">
        <f>Сят!C49</f>
        <v>0</v>
      </c>
      <c r="CY21" s="298">
        <f>Сят!D49</f>
        <v>0</v>
      </c>
      <c r="CZ21" s="298" t="e">
        <f t="shared" si="11"/>
        <v>#DIV/0!</v>
      </c>
      <c r="DA21" s="298"/>
      <c r="DB21" s="298">
        <f>Сят!D50</f>
        <v>0</v>
      </c>
      <c r="DC21" s="298"/>
      <c r="DD21" s="305"/>
      <c r="DE21" s="305"/>
      <c r="DF21" s="298" t="e">
        <f t="shared" si="43"/>
        <v>#DIV/0!</v>
      </c>
      <c r="DG21" s="298"/>
      <c r="DH21" s="298"/>
      <c r="DI21" s="298"/>
      <c r="DJ21" s="298"/>
      <c r="DK21" s="298"/>
      <c r="DL21" s="298"/>
      <c r="DM21" s="300">
        <f t="shared" si="44"/>
        <v>19887.452969999998</v>
      </c>
      <c r="DN21" s="300">
        <f t="shared" si="44"/>
        <v>19383.764020000002</v>
      </c>
      <c r="DO21" s="298">
        <f t="shared" si="45"/>
        <v>97.467302873023485</v>
      </c>
      <c r="DP21" s="305">
        <f t="shared" si="46"/>
        <v>1924.64084</v>
      </c>
      <c r="DQ21" s="305">
        <f>Сят!D56</f>
        <v>1770.5265400000001</v>
      </c>
      <c r="DR21" s="298">
        <f t="shared" si="47"/>
        <v>91.992568338100938</v>
      </c>
      <c r="DS21" s="298">
        <f>Сят!C58</f>
        <v>1830.51</v>
      </c>
      <c r="DT21" s="298">
        <f>Сят!D58</f>
        <v>1756.3957</v>
      </c>
      <c r="DU21" s="298">
        <f t="shared" si="48"/>
        <v>95.951166614768567</v>
      </c>
      <c r="DV21" s="298">
        <f>Сят!C61</f>
        <v>0</v>
      </c>
      <c r="DW21" s="298">
        <f>Сят!D61</f>
        <v>0</v>
      </c>
      <c r="DX21" s="298" t="e">
        <f t="shared" si="49"/>
        <v>#DIV/0!</v>
      </c>
      <c r="DY21" s="298">
        <f>Сят!C62</f>
        <v>10</v>
      </c>
      <c r="DZ21" s="298">
        <f>Сят!D62</f>
        <v>0</v>
      </c>
      <c r="EA21" s="298">
        <f t="shared" si="50"/>
        <v>0</v>
      </c>
      <c r="EB21" s="298">
        <f>Сят!C63</f>
        <v>84.130840000000006</v>
      </c>
      <c r="EC21" s="298">
        <f>Сят!D63</f>
        <v>14.130839999999999</v>
      </c>
      <c r="ED21" s="298">
        <f t="shared" si="51"/>
        <v>16.796266386975333</v>
      </c>
      <c r="EE21" s="298">
        <f>Сят!C65</f>
        <v>266.97908999999999</v>
      </c>
      <c r="EF21" s="298">
        <f>Сят!D65</f>
        <v>266.97908999999999</v>
      </c>
      <c r="EG21" s="298">
        <f t="shared" si="52"/>
        <v>100</v>
      </c>
      <c r="EH21" s="298">
        <f>Сят!C66</f>
        <v>12.5</v>
      </c>
      <c r="EI21" s="298">
        <f>Сят!D66</f>
        <v>11.87134</v>
      </c>
      <c r="EJ21" s="298">
        <f t="shared" si="53"/>
        <v>94.97072</v>
      </c>
      <c r="EK21" s="305">
        <f>Сят!C72</f>
        <v>6575.8638799999999</v>
      </c>
      <c r="EL21" s="305">
        <f>Сят!D72</f>
        <v>6540.8638700000001</v>
      </c>
      <c r="EM21" s="298">
        <f t="shared" si="54"/>
        <v>99.46775038780153</v>
      </c>
      <c r="EN21" s="305">
        <f>Сят!C77</f>
        <v>1271.33916</v>
      </c>
      <c r="EO21" s="305">
        <f>Сят!D77</f>
        <v>1020.83318</v>
      </c>
      <c r="EP21" s="298">
        <f t="shared" si="55"/>
        <v>80.295896808527473</v>
      </c>
      <c r="EQ21" s="305">
        <f>Сят!C81</f>
        <v>9821.1299999999992</v>
      </c>
      <c r="ER21" s="310">
        <f>Сят!D81</f>
        <v>9760.19</v>
      </c>
      <c r="ES21" s="298">
        <f t="shared" si="12"/>
        <v>99.379501136834563</v>
      </c>
      <c r="ET21" s="298">
        <f>Сят!C83</f>
        <v>0</v>
      </c>
      <c r="EU21" s="298">
        <f>Сят!D83</f>
        <v>0</v>
      </c>
      <c r="EV21" s="298" t="e">
        <f t="shared" si="13"/>
        <v>#DIV/0!</v>
      </c>
      <c r="EW21" s="311">
        <f>Сят!C88</f>
        <v>15</v>
      </c>
      <c r="EX21" s="311">
        <f>Сят!D88</f>
        <v>12.5</v>
      </c>
      <c r="EY21" s="298">
        <f t="shared" si="56"/>
        <v>83.333333333333343</v>
      </c>
      <c r="EZ21" s="298">
        <f>Сят!C94</f>
        <v>0</v>
      </c>
      <c r="FA21" s="298">
        <f>Сят!D94</f>
        <v>0</v>
      </c>
      <c r="FB21" s="291" t="e">
        <f t="shared" si="57"/>
        <v>#DIV/0!</v>
      </c>
      <c r="FC21" s="418">
        <f t="shared" si="14"/>
        <v>-659.32935999999609</v>
      </c>
      <c r="FD21" s="418">
        <f t="shared" si="15"/>
        <v>-169.32279000000563</v>
      </c>
      <c r="FE21" s="291">
        <f t="shared" si="59"/>
        <v>25.681063254942359</v>
      </c>
      <c r="FF21" s="159"/>
      <c r="FG21" s="160"/>
      <c r="FH21" s="162"/>
      <c r="FI21" s="160"/>
      <c r="FJ21" s="162"/>
      <c r="FK21" s="162"/>
      <c r="FL21" s="162"/>
      <c r="FM21" s="162"/>
      <c r="FN21" s="162"/>
      <c r="FO21" s="162"/>
      <c r="FP21" s="162"/>
      <c r="FQ21" s="162"/>
      <c r="FR21" s="162"/>
      <c r="FS21" s="162"/>
      <c r="FT21" s="162"/>
    </row>
    <row r="22" spans="1:176" s="169" customFormat="1" ht="22.5" customHeight="1" x14ac:dyDescent="0.25">
      <c r="A22" s="334">
        <v>9</v>
      </c>
      <c r="B22" s="335" t="s">
        <v>290</v>
      </c>
      <c r="C22" s="314">
        <f>F22+CF22</f>
        <v>11326.064779999999</v>
      </c>
      <c r="D22" s="315">
        <f t="shared" si="0"/>
        <v>12009.552879999999</v>
      </c>
      <c r="E22" s="301">
        <f t="shared" si="1"/>
        <v>106.0346476316022</v>
      </c>
      <c r="F22" s="292">
        <f t="shared" si="17"/>
        <v>2874.0152000000003</v>
      </c>
      <c r="G22" s="316">
        <f t="shared" si="3"/>
        <v>3557.53586</v>
      </c>
      <c r="H22" s="301">
        <f t="shared" si="18"/>
        <v>123.78277818433247</v>
      </c>
      <c r="I22" s="291">
        <f t="shared" si="19"/>
        <v>1837.2266399999999</v>
      </c>
      <c r="J22" s="301"/>
      <c r="K22" s="301"/>
      <c r="L22" s="300">
        <f>Тор!C6</f>
        <v>159</v>
      </c>
      <c r="M22" s="383">
        <f>Тор!D6</f>
        <v>173.74345</v>
      </c>
      <c r="N22" s="301">
        <f t="shared" si="20"/>
        <v>109.27261006289308</v>
      </c>
      <c r="O22" s="291">
        <f t="shared" si="4"/>
        <v>938.22663999999997</v>
      </c>
      <c r="P22" s="291">
        <f t="shared" si="5"/>
        <v>1084.2337699999998</v>
      </c>
      <c r="Q22" s="301"/>
      <c r="R22" s="301">
        <f>Тор!C8</f>
        <v>363.20564000000002</v>
      </c>
      <c r="S22" s="301">
        <f>Тор!D8</f>
        <v>543.53403000000003</v>
      </c>
      <c r="T22" s="301">
        <f t="shared" si="21"/>
        <v>149.64911613156667</v>
      </c>
      <c r="U22" s="301">
        <f>Тор!C9</f>
        <v>3.6680000000000001</v>
      </c>
      <c r="V22" s="301">
        <f>Тор!D9</f>
        <v>2.9359299999999999</v>
      </c>
      <c r="W22" s="301">
        <f t="shared" si="22"/>
        <v>80.041712104689196</v>
      </c>
      <c r="X22" s="301">
        <f>Тор!C10</f>
        <v>571.35299999999995</v>
      </c>
      <c r="Y22" s="301">
        <f>Тор!D10</f>
        <v>600.12294999999995</v>
      </c>
      <c r="Z22" s="301">
        <f t="shared" si="23"/>
        <v>105.0354071825999</v>
      </c>
      <c r="AA22" s="301">
        <f>Тор!C11</f>
        <v>0</v>
      </c>
      <c r="AB22" s="317">
        <f>Тор!D11</f>
        <v>-62.359139999999996</v>
      </c>
      <c r="AC22" s="301" t="e">
        <f t="shared" si="24"/>
        <v>#DIV/0!</v>
      </c>
      <c r="AD22" s="300">
        <f>Тор!C13</f>
        <v>30</v>
      </c>
      <c r="AE22" s="300">
        <f>Тор!D13</f>
        <v>5.9820000000000002</v>
      </c>
      <c r="AF22" s="301">
        <f t="shared" si="25"/>
        <v>19.939999999999998</v>
      </c>
      <c r="AG22" s="300">
        <f>Тор!C15</f>
        <v>247</v>
      </c>
      <c r="AH22" s="297">
        <f>Тор!D15</f>
        <v>179.51551000000001</v>
      </c>
      <c r="AI22" s="301">
        <f t="shared" si="26"/>
        <v>72.67834412955466</v>
      </c>
      <c r="AJ22" s="300">
        <f>Тор!C16</f>
        <v>455</v>
      </c>
      <c r="AK22" s="300">
        <f>Тор!D16</f>
        <v>427.03435999999999</v>
      </c>
      <c r="AL22" s="301">
        <f t="shared" si="6"/>
        <v>93.85370549450549</v>
      </c>
      <c r="AM22" s="301">
        <f>Тор!C18</f>
        <v>8</v>
      </c>
      <c r="AN22" s="301">
        <f>Тор!D18</f>
        <v>6.1</v>
      </c>
      <c r="AO22" s="301">
        <f t="shared" si="27"/>
        <v>76.25</v>
      </c>
      <c r="AP22" s="301"/>
      <c r="AQ22" s="301">
        <f>Тор!D20</f>
        <v>0</v>
      </c>
      <c r="AR22" s="301" t="e">
        <f t="shared" si="7"/>
        <v>#DIV/0!</v>
      </c>
      <c r="AS22" s="300">
        <v>0</v>
      </c>
      <c r="AT22" s="300">
        <v>0</v>
      </c>
      <c r="AU22" s="301" t="e">
        <f t="shared" si="8"/>
        <v>#DIV/0!</v>
      </c>
      <c r="AV22" s="300">
        <f>Тор!C27</f>
        <v>320</v>
      </c>
      <c r="AW22" s="297">
        <f>Тор!D27</f>
        <v>488.11329999999998</v>
      </c>
      <c r="AX22" s="301">
        <f t="shared" si="28"/>
        <v>152.53540624999999</v>
      </c>
      <c r="AY22" s="300">
        <f>Тор!C28</f>
        <v>30</v>
      </c>
      <c r="AZ22" s="297">
        <f>Тор!D28</f>
        <v>80.440780000000004</v>
      </c>
      <c r="BA22" s="301">
        <f t="shared" si="29"/>
        <v>268.13593333333336</v>
      </c>
      <c r="BB22" s="300"/>
      <c r="BC22" s="300"/>
      <c r="BD22" s="301" t="e">
        <f t="shared" si="30"/>
        <v>#DIV/0!</v>
      </c>
      <c r="BE22" s="301">
        <f>Тор!C29</f>
        <v>130</v>
      </c>
      <c r="BF22" s="301">
        <f>Тор!D29</f>
        <v>137.39689000000001</v>
      </c>
      <c r="BG22" s="301">
        <f t="shared" si="31"/>
        <v>105.68991538461539</v>
      </c>
      <c r="BH22" s="301"/>
      <c r="BI22" s="301"/>
      <c r="BJ22" s="301"/>
      <c r="BK22" s="301">
        <f>Тор!C34+Тор!C33</f>
        <v>32.252499999999998</v>
      </c>
      <c r="BL22" s="301">
        <f>Тор!D32</f>
        <v>32.252499999999998</v>
      </c>
      <c r="BM22" s="301">
        <f t="shared" si="32"/>
        <v>100</v>
      </c>
      <c r="BN22" s="301"/>
      <c r="BO22" s="301"/>
      <c r="BP22" s="301" t="e">
        <f t="shared" si="33"/>
        <v>#DIV/0!</v>
      </c>
      <c r="BQ22" s="301"/>
      <c r="BR22" s="301"/>
      <c r="BS22" s="301"/>
      <c r="BT22" s="301">
        <f>Тор!C35</f>
        <v>10.63425</v>
      </c>
      <c r="BU22" s="301">
        <f>Тор!D35</f>
        <v>27.535329999999998</v>
      </c>
      <c r="BV22" s="291">
        <f t="shared" si="34"/>
        <v>258.93062510285165</v>
      </c>
      <c r="BW22" s="301">
        <f>Тор!C37</f>
        <v>513.90180999999995</v>
      </c>
      <c r="BX22" s="301">
        <f>Тор!D37</f>
        <v>915.18796999999995</v>
      </c>
      <c r="BY22" s="301">
        <f t="shared" si="35"/>
        <v>178.08615424024291</v>
      </c>
      <c r="BZ22" s="301"/>
      <c r="CA22" s="301"/>
      <c r="CB22" s="318" t="e">
        <f t="shared" si="36"/>
        <v>#DIV/0!</v>
      </c>
      <c r="CC22" s="318"/>
      <c r="CD22" s="318"/>
      <c r="CE22" s="318" t="e">
        <f t="shared" si="37"/>
        <v>#DIV/0!</v>
      </c>
      <c r="CF22" s="300">
        <f t="shared" si="38"/>
        <v>8452.049579999999</v>
      </c>
      <c r="CG22" s="296">
        <f t="shared" si="39"/>
        <v>8452.0170199999993</v>
      </c>
      <c r="CH22" s="301">
        <f t="shared" si="58"/>
        <v>99.999614767995723</v>
      </c>
      <c r="CI22" s="301">
        <f>Тор!C42</f>
        <v>2338.6999999999998</v>
      </c>
      <c r="CJ22" s="301">
        <f>Тор!D42</f>
        <v>2338.6999999999998</v>
      </c>
      <c r="CK22" s="301">
        <f t="shared" si="40"/>
        <v>100</v>
      </c>
      <c r="CL22" s="301">
        <f>Тор!C43</f>
        <v>0</v>
      </c>
      <c r="CM22" s="390">
        <f>Тор!D43</f>
        <v>0</v>
      </c>
      <c r="CN22" s="301" t="e">
        <f t="shared" si="41"/>
        <v>#DIV/0!</v>
      </c>
      <c r="CO22" s="301">
        <f>Тор!C44</f>
        <v>4937.9274500000001</v>
      </c>
      <c r="CP22" s="301">
        <f>Тор!D44</f>
        <v>4937.9274500000001</v>
      </c>
      <c r="CQ22" s="301">
        <f t="shared" si="9"/>
        <v>100</v>
      </c>
      <c r="CR22" s="301">
        <f>Тор!C45</f>
        <v>110.18913000000001</v>
      </c>
      <c r="CS22" s="301">
        <f>Тор!D45</f>
        <v>110.18913000000001</v>
      </c>
      <c r="CT22" s="301">
        <f t="shared" si="10"/>
        <v>100</v>
      </c>
      <c r="CU22" s="301">
        <f>Тор!C46</f>
        <v>1065.2329999999999</v>
      </c>
      <c r="CV22" s="301">
        <f>Тор!D46</f>
        <v>1065.2004400000001</v>
      </c>
      <c r="CW22" s="291">
        <f t="shared" si="42"/>
        <v>99.996943391727456</v>
      </c>
      <c r="CX22" s="317">
        <f>Тор!C48</f>
        <v>0</v>
      </c>
      <c r="CY22" s="301">
        <f>Тор!D48</f>
        <v>0</v>
      </c>
      <c r="CZ22" s="301" t="e">
        <f t="shared" si="11"/>
        <v>#DIV/0!</v>
      </c>
      <c r="DA22" s="301"/>
      <c r="DB22" s="301">
        <f>Тор!D49</f>
        <v>0</v>
      </c>
      <c r="DC22" s="301"/>
      <c r="DD22" s="300"/>
      <c r="DE22" s="300"/>
      <c r="DF22" s="301" t="e">
        <f t="shared" si="43"/>
        <v>#DIV/0!</v>
      </c>
      <c r="DG22" s="301"/>
      <c r="DH22" s="301"/>
      <c r="DI22" s="301"/>
      <c r="DJ22" s="301"/>
      <c r="DK22" s="301"/>
      <c r="DL22" s="301"/>
      <c r="DM22" s="300">
        <f t="shared" si="44"/>
        <v>11856.092259999999</v>
      </c>
      <c r="DN22" s="300">
        <f t="shared" si="44"/>
        <v>11659.78177</v>
      </c>
      <c r="DO22" s="301">
        <f t="shared" si="45"/>
        <v>98.344222651992084</v>
      </c>
      <c r="DP22" s="300">
        <f t="shared" si="46"/>
        <v>1352.6250599999998</v>
      </c>
      <c r="DQ22" s="300">
        <f t="shared" si="46"/>
        <v>1336.08367</v>
      </c>
      <c r="DR22" s="301">
        <f t="shared" si="47"/>
        <v>98.777089787172812</v>
      </c>
      <c r="DS22" s="301">
        <f>Тор!C58</f>
        <v>1347.6690599999999</v>
      </c>
      <c r="DT22" s="301">
        <f>Тор!D58</f>
        <v>1332.1276700000001</v>
      </c>
      <c r="DU22" s="301">
        <f t="shared" si="48"/>
        <v>98.846794776159669</v>
      </c>
      <c r="DV22" s="301">
        <f>Тор!C61</f>
        <v>0</v>
      </c>
      <c r="DW22" s="301">
        <f>Тор!D61</f>
        <v>0</v>
      </c>
      <c r="DX22" s="301" t="e">
        <f t="shared" si="49"/>
        <v>#DIV/0!</v>
      </c>
      <c r="DY22" s="301">
        <f>Тор!C62</f>
        <v>1</v>
      </c>
      <c r="DZ22" s="301">
        <f>Тор!D62</f>
        <v>0</v>
      </c>
      <c r="EA22" s="301">
        <f t="shared" si="50"/>
        <v>0</v>
      </c>
      <c r="EB22" s="301">
        <f>Тор!C63</f>
        <v>3.956</v>
      </c>
      <c r="EC22" s="301">
        <f>Тор!D63</f>
        <v>3.956</v>
      </c>
      <c r="ED22" s="301">
        <f t="shared" si="51"/>
        <v>100</v>
      </c>
      <c r="EE22" s="301">
        <f>Тор!C65</f>
        <v>110.18913000000001</v>
      </c>
      <c r="EF22" s="301">
        <f>+Тор!D64</f>
        <v>110.18913000000001</v>
      </c>
      <c r="EG22" s="301">
        <f t="shared" si="52"/>
        <v>100</v>
      </c>
      <c r="EH22" s="301">
        <f>Тор!C66</f>
        <v>7.6313399999999998</v>
      </c>
      <c r="EI22" s="301">
        <f>Тор!D66</f>
        <v>7.6313399999999998</v>
      </c>
      <c r="EJ22" s="301">
        <f t="shared" si="53"/>
        <v>100</v>
      </c>
      <c r="EK22" s="300">
        <f>Тор!C72</f>
        <v>5377.79259</v>
      </c>
      <c r="EL22" s="300">
        <f>Тор!D72</f>
        <v>5328.9064600000002</v>
      </c>
      <c r="EM22" s="301">
        <f t="shared" si="54"/>
        <v>99.090962896358192</v>
      </c>
      <c r="EN22" s="300">
        <f>Тор!C78</f>
        <v>3897.7041399999998</v>
      </c>
      <c r="EO22" s="300">
        <f>Тор!D78</f>
        <v>3782.8211700000002</v>
      </c>
      <c r="EP22" s="301">
        <f t="shared" si="55"/>
        <v>97.052547708251666</v>
      </c>
      <c r="EQ22" s="300">
        <f>Тор!C82</f>
        <v>1099.1500000000001</v>
      </c>
      <c r="ER22" s="319">
        <f>Тор!D82</f>
        <v>1083.1500000000001</v>
      </c>
      <c r="ES22" s="301">
        <f t="shared" si="12"/>
        <v>98.544329709320849</v>
      </c>
      <c r="ET22" s="301">
        <f>Тор!C84</f>
        <v>9</v>
      </c>
      <c r="EU22" s="301">
        <f>Тор!D84</f>
        <v>9</v>
      </c>
      <c r="EV22" s="301">
        <f t="shared" si="13"/>
        <v>100</v>
      </c>
      <c r="EW22" s="316">
        <f>Тор!C96</f>
        <v>2</v>
      </c>
      <c r="EX22" s="316">
        <f>Тор!D96</f>
        <v>2</v>
      </c>
      <c r="EY22" s="301">
        <f t="shared" si="56"/>
        <v>100</v>
      </c>
      <c r="EZ22" s="301">
        <f>Тор!C94</f>
        <v>0</v>
      </c>
      <c r="FA22" s="301">
        <f>Тор!D94</f>
        <v>0</v>
      </c>
      <c r="FB22" s="301" t="e">
        <f t="shared" si="57"/>
        <v>#DIV/0!</v>
      </c>
      <c r="FC22" s="419">
        <f t="shared" si="14"/>
        <v>-530.02748000000065</v>
      </c>
      <c r="FD22" s="419">
        <f t="shared" si="15"/>
        <v>349.77110999999968</v>
      </c>
      <c r="FE22" s="301">
        <f t="shared" si="59"/>
        <v>-65.991127478899642</v>
      </c>
      <c r="FF22" s="167"/>
      <c r="FG22" s="168"/>
      <c r="FI22" s="168"/>
      <c r="FL22" s="207"/>
      <c r="FM22" s="207"/>
      <c r="FN22" s="207"/>
      <c r="FO22" s="207"/>
      <c r="FP22" s="207"/>
      <c r="FQ22" s="207"/>
      <c r="FR22" s="207"/>
      <c r="FS22" s="207"/>
      <c r="FT22" s="207"/>
    </row>
    <row r="23" spans="1:176" s="157" customFormat="1" ht="23.25" customHeight="1" x14ac:dyDescent="0.25">
      <c r="A23" s="331">
        <v>10</v>
      </c>
      <c r="B23" s="333" t="s">
        <v>291</v>
      </c>
      <c r="C23" s="289">
        <f t="shared" si="16"/>
        <v>12584.72876</v>
      </c>
      <c r="D23" s="290">
        <f t="shared" si="0"/>
        <v>12865.07963</v>
      </c>
      <c r="E23" s="298">
        <f t="shared" si="1"/>
        <v>102.2277068925878</v>
      </c>
      <c r="F23" s="292">
        <f t="shared" si="17"/>
        <v>1935.7251599999997</v>
      </c>
      <c r="G23" s="292">
        <f t="shared" si="3"/>
        <v>2216.0760300000002</v>
      </c>
      <c r="H23" s="298">
        <f t="shared" si="18"/>
        <v>114.48298941364179</v>
      </c>
      <c r="I23" s="291">
        <f t="shared" si="19"/>
        <v>1139.73</v>
      </c>
      <c r="J23" s="298"/>
      <c r="K23" s="298"/>
      <c r="L23" s="305">
        <f>Хор!C6</f>
        <v>111</v>
      </c>
      <c r="M23" s="383">
        <f>Хор!D6</f>
        <v>86.457999999999998</v>
      </c>
      <c r="N23" s="298">
        <f t="shared" si="20"/>
        <v>77.890090090090098</v>
      </c>
      <c r="O23" s="291">
        <f t="shared" si="4"/>
        <v>428.73</v>
      </c>
      <c r="P23" s="291">
        <f t="shared" si="5"/>
        <v>506.87091000000004</v>
      </c>
      <c r="Q23" s="298"/>
      <c r="R23" s="298">
        <f>Хор!C8</f>
        <v>159.916</v>
      </c>
      <c r="S23" s="298">
        <f>Хор!D8</f>
        <v>254.09796</v>
      </c>
      <c r="T23" s="291">
        <f t="shared" si="21"/>
        <v>158.89464468846143</v>
      </c>
      <c r="U23" s="291">
        <f>Хор!C9</f>
        <v>1.7150000000000001</v>
      </c>
      <c r="V23" s="291">
        <f>Хор!D9</f>
        <v>1.37252</v>
      </c>
      <c r="W23" s="291">
        <f t="shared" si="22"/>
        <v>80.03032069970844</v>
      </c>
      <c r="X23" s="291">
        <f>Хор!C10</f>
        <v>267.09899999999999</v>
      </c>
      <c r="Y23" s="291">
        <f>Хор!D10</f>
        <v>280.55284</v>
      </c>
      <c r="Z23" s="291">
        <f t="shared" si="23"/>
        <v>105.03702372528538</v>
      </c>
      <c r="AA23" s="291">
        <f>Хор!C11</f>
        <v>0</v>
      </c>
      <c r="AB23" s="295">
        <f>Хор!D11</f>
        <v>-29.15241</v>
      </c>
      <c r="AC23" s="291" t="e">
        <f t="shared" si="24"/>
        <v>#DIV/0!</v>
      </c>
      <c r="AD23" s="305">
        <f>Хор!C13</f>
        <v>10</v>
      </c>
      <c r="AE23" s="305">
        <f>Хор!D13</f>
        <v>1.0918099999999999</v>
      </c>
      <c r="AF23" s="298">
        <f t="shared" si="25"/>
        <v>10.918100000000001</v>
      </c>
      <c r="AG23" s="305">
        <f>Хор!C15</f>
        <v>271</v>
      </c>
      <c r="AH23" s="297">
        <f>Хор!D15</f>
        <v>201.58349999999999</v>
      </c>
      <c r="AI23" s="298">
        <f t="shared" si="26"/>
        <v>74.3850553505535</v>
      </c>
      <c r="AJ23" s="305">
        <f>Хор!C16</f>
        <v>314</v>
      </c>
      <c r="AK23" s="305">
        <f>Хор!D16</f>
        <v>323.87513999999999</v>
      </c>
      <c r="AL23" s="298">
        <f t="shared" si="6"/>
        <v>103.14494904458597</v>
      </c>
      <c r="AM23" s="298">
        <f>Хор!C18</f>
        <v>5</v>
      </c>
      <c r="AN23" s="298">
        <f>Хор!D18</f>
        <v>5.5</v>
      </c>
      <c r="AO23" s="298">
        <f t="shared" si="27"/>
        <v>110.00000000000001</v>
      </c>
      <c r="AP23" s="298"/>
      <c r="AQ23" s="298"/>
      <c r="AR23" s="298" t="e">
        <f t="shared" si="7"/>
        <v>#DIV/0!</v>
      </c>
      <c r="AS23" s="305">
        <v>0</v>
      </c>
      <c r="AT23" s="305">
        <v>0</v>
      </c>
      <c r="AU23" s="298" t="e">
        <f t="shared" si="8"/>
        <v>#DIV/0!</v>
      </c>
      <c r="AV23" s="305">
        <f>Хор!C25</f>
        <v>30</v>
      </c>
      <c r="AW23" s="306">
        <f>Хор!D25</f>
        <v>23.953299999999999</v>
      </c>
      <c r="AX23" s="298">
        <f t="shared" si="28"/>
        <v>79.844333333333324</v>
      </c>
      <c r="AY23" s="300">
        <f>Хор!C26</f>
        <v>0</v>
      </c>
      <c r="AZ23" s="306">
        <f>Хор!D26</f>
        <v>0</v>
      </c>
      <c r="BA23" s="298" t="e">
        <f t="shared" si="29"/>
        <v>#DIV/0!</v>
      </c>
      <c r="BB23" s="305"/>
      <c r="BC23" s="305"/>
      <c r="BD23" s="298" t="e">
        <f t="shared" si="30"/>
        <v>#DIV/0!</v>
      </c>
      <c r="BE23" s="298">
        <f>Хор!C27</f>
        <v>0</v>
      </c>
      <c r="BF23" s="301">
        <f>Хор!D27</f>
        <v>8.3529999999999993E-2</v>
      </c>
      <c r="BG23" s="298" t="e">
        <f t="shared" si="31"/>
        <v>#DIV/0!</v>
      </c>
      <c r="BH23" s="298"/>
      <c r="BI23" s="298"/>
      <c r="BJ23" s="298"/>
      <c r="BK23" s="298">
        <f>Хор!C31</f>
        <v>0</v>
      </c>
      <c r="BL23" s="298">
        <f>Хор!D31</f>
        <v>0</v>
      </c>
      <c r="BM23" s="298" t="e">
        <f t="shared" si="32"/>
        <v>#DIV/0!</v>
      </c>
      <c r="BN23" s="298"/>
      <c r="BO23" s="298"/>
      <c r="BP23" s="298" t="e">
        <f t="shared" si="33"/>
        <v>#DIV/0!</v>
      </c>
      <c r="BQ23" s="298"/>
      <c r="BR23" s="298"/>
      <c r="BS23" s="298"/>
      <c r="BT23" s="298"/>
      <c r="BU23" s="298">
        <f>Хор!D32</f>
        <v>0.86636000000000002</v>
      </c>
      <c r="BV23" s="291" t="e">
        <f t="shared" si="34"/>
        <v>#DIV/0!</v>
      </c>
      <c r="BW23" s="298">
        <f>Хор!C33</f>
        <v>765.99516000000006</v>
      </c>
      <c r="BX23" s="298">
        <f>Хор!D33</f>
        <v>1065.79348</v>
      </c>
      <c r="BY23" s="298">
        <f t="shared" si="35"/>
        <v>139.1384091774157</v>
      </c>
      <c r="BZ23" s="298"/>
      <c r="CA23" s="298"/>
      <c r="CB23" s="307" t="e">
        <f t="shared" si="36"/>
        <v>#DIV/0!</v>
      </c>
      <c r="CC23" s="307"/>
      <c r="CD23" s="307"/>
      <c r="CE23" s="307" t="e">
        <f t="shared" si="37"/>
        <v>#DIV/0!</v>
      </c>
      <c r="CF23" s="296">
        <f t="shared" si="38"/>
        <v>10649.0036</v>
      </c>
      <c r="CG23" s="296">
        <f>CJ23+CM23+CP23+CS23+CY23+CV23+DB23</f>
        <v>10649.0036</v>
      </c>
      <c r="CH23" s="298">
        <f t="shared" si="58"/>
        <v>100</v>
      </c>
      <c r="CI23" s="298">
        <f>Хор!C38</f>
        <v>2095.3000000000002</v>
      </c>
      <c r="CJ23" s="298">
        <f>Хор!D38</f>
        <v>2095.3000000000002</v>
      </c>
      <c r="CK23" s="298">
        <f t="shared" si="40"/>
        <v>100</v>
      </c>
      <c r="CL23" s="298">
        <f>Хор!C40</f>
        <v>0</v>
      </c>
      <c r="CM23" s="389">
        <f>Хор!D40</f>
        <v>0</v>
      </c>
      <c r="CN23" s="298" t="e">
        <f t="shared" si="41"/>
        <v>#DIV/0!</v>
      </c>
      <c r="CO23" s="298">
        <f>Хор!C41</f>
        <v>5392.4916499999999</v>
      </c>
      <c r="CP23" s="298">
        <f>Хор!D41</f>
        <v>5392.4916499999999</v>
      </c>
      <c r="CQ23" s="298">
        <f t="shared" si="9"/>
        <v>100</v>
      </c>
      <c r="CR23" s="298">
        <f>Хор!C42</f>
        <v>96.750470000000007</v>
      </c>
      <c r="CS23" s="298">
        <f>Хор!D42</f>
        <v>96.750470000000007</v>
      </c>
      <c r="CT23" s="298">
        <f t="shared" si="10"/>
        <v>100</v>
      </c>
      <c r="CU23" s="298">
        <f>Хор!C43</f>
        <v>3064.4614799999999</v>
      </c>
      <c r="CV23" s="298">
        <f>Хор!D43</f>
        <v>3064.4614799999999</v>
      </c>
      <c r="CW23" s="291">
        <f t="shared" si="42"/>
        <v>100</v>
      </c>
      <c r="CX23" s="309">
        <f>Хор!C44</f>
        <v>0</v>
      </c>
      <c r="CY23" s="298">
        <f>Хор!D44</f>
        <v>0</v>
      </c>
      <c r="CZ23" s="298" t="e">
        <f t="shared" si="11"/>
        <v>#DIV/0!</v>
      </c>
      <c r="DA23" s="298"/>
      <c r="DB23" s="298"/>
      <c r="DC23" s="298"/>
      <c r="DD23" s="305"/>
      <c r="DE23" s="305"/>
      <c r="DF23" s="298" t="e">
        <f t="shared" si="43"/>
        <v>#DIV/0!</v>
      </c>
      <c r="DG23" s="298"/>
      <c r="DH23" s="298"/>
      <c r="DI23" s="298"/>
      <c r="DJ23" s="298"/>
      <c r="DK23" s="298">
        <f>Хор!D47</f>
        <v>0</v>
      </c>
      <c r="DL23" s="298"/>
      <c r="DM23" s="300">
        <f t="shared" si="44"/>
        <v>12647.385039999999</v>
      </c>
      <c r="DN23" s="300">
        <f t="shared" si="44"/>
        <v>12613.36629</v>
      </c>
      <c r="DO23" s="298">
        <f t="shared" si="45"/>
        <v>99.731021472878325</v>
      </c>
      <c r="DP23" s="305">
        <f t="shared" si="46"/>
        <v>1527.2872</v>
      </c>
      <c r="DQ23" s="305">
        <f t="shared" si="46"/>
        <v>1505.95272</v>
      </c>
      <c r="DR23" s="298">
        <f t="shared" si="47"/>
        <v>98.603112760979073</v>
      </c>
      <c r="DS23" s="298">
        <f>Хор!C55</f>
        <v>1523.1351999999999</v>
      </c>
      <c r="DT23" s="298">
        <f>Хор!D55</f>
        <v>1502.80072</v>
      </c>
      <c r="DU23" s="298">
        <f t="shared" si="48"/>
        <v>98.664958960964199</v>
      </c>
      <c r="DV23" s="298">
        <f>Хор!C58</f>
        <v>0</v>
      </c>
      <c r="DW23" s="298">
        <f>Хор!D58</f>
        <v>0</v>
      </c>
      <c r="DX23" s="298" t="e">
        <f t="shared" si="49"/>
        <v>#DIV/0!</v>
      </c>
      <c r="DY23" s="298">
        <f>Хор!C59</f>
        <v>1</v>
      </c>
      <c r="DZ23" s="298">
        <f>Хор!D59</f>
        <v>0</v>
      </c>
      <c r="EA23" s="298">
        <f t="shared" si="50"/>
        <v>0</v>
      </c>
      <c r="EB23" s="298">
        <f>Хор!C60</f>
        <v>3.1520000000000001</v>
      </c>
      <c r="EC23" s="298">
        <f>Хор!D60</f>
        <v>3.1520000000000001</v>
      </c>
      <c r="ED23" s="298">
        <f t="shared" si="51"/>
        <v>100</v>
      </c>
      <c r="EE23" s="298">
        <f>Хор!C62</f>
        <v>96.750470000000007</v>
      </c>
      <c r="EF23" s="298">
        <f>Хор!D62</f>
        <v>96.750470000000007</v>
      </c>
      <c r="EG23" s="298">
        <f t="shared" si="52"/>
        <v>100</v>
      </c>
      <c r="EH23" s="298">
        <f>Хор!C63</f>
        <v>7.6513399999999994</v>
      </c>
      <c r="EI23" s="298">
        <f>Хор!D63</f>
        <v>7.6513399999999994</v>
      </c>
      <c r="EJ23" s="298">
        <f t="shared" si="53"/>
        <v>100</v>
      </c>
      <c r="EK23" s="305">
        <f>Хор!C69</f>
        <v>1284.1928499999999</v>
      </c>
      <c r="EL23" s="305">
        <f>Хор!D69</f>
        <v>1271.5085799999999</v>
      </c>
      <c r="EM23" s="298">
        <f t="shared" si="54"/>
        <v>99.012276855458282</v>
      </c>
      <c r="EN23" s="305">
        <f>Хор!C74</f>
        <v>8968.17029</v>
      </c>
      <c r="EO23" s="305">
        <f>Хор!D74</f>
        <v>8968.17029</v>
      </c>
      <c r="EP23" s="298">
        <f t="shared" si="55"/>
        <v>100</v>
      </c>
      <c r="EQ23" s="305">
        <f>Хор!C78</f>
        <v>758.33289000000002</v>
      </c>
      <c r="ER23" s="310">
        <f>Хор!D78</f>
        <v>758.33289000000002</v>
      </c>
      <c r="ES23" s="298">
        <f t="shared" si="12"/>
        <v>100</v>
      </c>
      <c r="ET23" s="298">
        <f>Хор!C80</f>
        <v>0</v>
      </c>
      <c r="EU23" s="298">
        <f>Хор!D80</f>
        <v>0</v>
      </c>
      <c r="EV23" s="298" t="e">
        <f t="shared" si="13"/>
        <v>#DIV/0!</v>
      </c>
      <c r="EW23" s="311">
        <f>Хор!C85</f>
        <v>5</v>
      </c>
      <c r="EX23" s="311">
        <f>Хор!D85</f>
        <v>5</v>
      </c>
      <c r="EY23" s="298">
        <f t="shared" si="56"/>
        <v>100</v>
      </c>
      <c r="EZ23" s="298">
        <f>Хор!C91</f>
        <v>0</v>
      </c>
      <c r="FA23" s="298">
        <f>Хор!D91</f>
        <v>0</v>
      </c>
      <c r="FB23" s="291" t="e">
        <f t="shared" si="57"/>
        <v>#DIV/0!</v>
      </c>
      <c r="FC23" s="418">
        <f t="shared" si="14"/>
        <v>-62.656279999999242</v>
      </c>
      <c r="FD23" s="418">
        <f t="shared" si="15"/>
        <v>251.71334000000024</v>
      </c>
      <c r="FE23" s="291">
        <f t="shared" si="59"/>
        <v>-401.73680914347818</v>
      </c>
      <c r="FF23" s="159"/>
      <c r="FG23" s="160"/>
      <c r="FI23" s="160"/>
    </row>
    <row r="24" spans="1:176" s="250" customFormat="1" ht="25.5" customHeight="1" x14ac:dyDescent="0.25">
      <c r="A24" s="336">
        <v>11</v>
      </c>
      <c r="B24" s="333" t="s">
        <v>292</v>
      </c>
      <c r="C24" s="312">
        <f t="shared" si="16"/>
        <v>8308.3483500000002</v>
      </c>
      <c r="D24" s="290">
        <f t="shared" si="0"/>
        <v>8478.5758900000001</v>
      </c>
      <c r="E24" s="298">
        <f t="shared" si="1"/>
        <v>102.04887340815458</v>
      </c>
      <c r="F24" s="292">
        <f t="shared" si="17"/>
        <v>1380.94588</v>
      </c>
      <c r="G24" s="311">
        <f t="shared" si="3"/>
        <v>1611.4984199999999</v>
      </c>
      <c r="H24" s="298">
        <f t="shared" si="18"/>
        <v>116.69526252542207</v>
      </c>
      <c r="I24" s="291">
        <f t="shared" si="19"/>
        <v>1122.556</v>
      </c>
      <c r="J24" s="298"/>
      <c r="K24" s="298"/>
      <c r="L24" s="305">
        <f>Чум!C6</f>
        <v>93</v>
      </c>
      <c r="M24" s="383">
        <f>Чум!D6</f>
        <v>109.58056999999999</v>
      </c>
      <c r="N24" s="298">
        <f t="shared" si="20"/>
        <v>117.82856989247313</v>
      </c>
      <c r="O24" s="291">
        <f t="shared" si="4"/>
        <v>528.86</v>
      </c>
      <c r="P24" s="291">
        <f t="shared" si="5"/>
        <v>483.37358</v>
      </c>
      <c r="Q24" s="298"/>
      <c r="R24" s="298">
        <f>Чум!C8</f>
        <v>272.505</v>
      </c>
      <c r="S24" s="298">
        <f>Чум!D8</f>
        <v>242.31856999999999</v>
      </c>
      <c r="T24" s="298">
        <f t="shared" si="21"/>
        <v>88.922614263958451</v>
      </c>
      <c r="U24" s="298">
        <f>Чум!C9</f>
        <v>1.635</v>
      </c>
      <c r="V24" s="298">
        <f>Чум!D9</f>
        <v>1.3088900000000001</v>
      </c>
      <c r="W24" s="298">
        <f t="shared" si="22"/>
        <v>80.05443425076453</v>
      </c>
      <c r="X24" s="298">
        <f>Чум!C10</f>
        <v>254.72</v>
      </c>
      <c r="Y24" s="298">
        <f>Чум!D10</f>
        <v>267.5471</v>
      </c>
      <c r="Z24" s="298">
        <f t="shared" si="23"/>
        <v>105.03576476130654</v>
      </c>
      <c r="AA24" s="298">
        <f>Чум!C11</f>
        <v>0</v>
      </c>
      <c r="AB24" s="309">
        <f>Чум!D11</f>
        <v>-27.800979999999999</v>
      </c>
      <c r="AC24" s="298" t="e">
        <f t="shared" si="24"/>
        <v>#DIV/0!</v>
      </c>
      <c r="AD24" s="305">
        <f>Чум!C13</f>
        <v>40</v>
      </c>
      <c r="AE24" s="305">
        <f>Чум!D13</f>
        <v>143.49297999999999</v>
      </c>
      <c r="AF24" s="298">
        <f t="shared" si="25"/>
        <v>358.73244999999997</v>
      </c>
      <c r="AG24" s="305">
        <f>Чум!C15</f>
        <v>96</v>
      </c>
      <c r="AH24" s="297">
        <f>Чум!D15</f>
        <v>117.6803</v>
      </c>
      <c r="AI24" s="298">
        <f t="shared" si="26"/>
        <v>122.58364583333335</v>
      </c>
      <c r="AJ24" s="305">
        <f>Чум!C16</f>
        <v>359.69600000000003</v>
      </c>
      <c r="AK24" s="305">
        <f>Чум!D16</f>
        <v>348.84931</v>
      </c>
      <c r="AL24" s="298">
        <f t="shared" si="6"/>
        <v>96.984484119923479</v>
      </c>
      <c r="AM24" s="298">
        <f>Чум!C18</f>
        <v>5</v>
      </c>
      <c r="AN24" s="298">
        <f>Чум!D18</f>
        <v>2.1</v>
      </c>
      <c r="AO24" s="298">
        <f t="shared" si="27"/>
        <v>42.000000000000007</v>
      </c>
      <c r="AP24" s="298">
        <f>Чум!C22</f>
        <v>0</v>
      </c>
      <c r="AQ24" s="298">
        <v>3.65E-3</v>
      </c>
      <c r="AR24" s="298" t="e">
        <f>AQ24/AP24*100</f>
        <v>#DIV/0!</v>
      </c>
      <c r="AS24" s="305">
        <v>0</v>
      </c>
      <c r="AT24" s="305"/>
      <c r="AU24" s="298" t="e">
        <f t="shared" si="8"/>
        <v>#DIV/0!</v>
      </c>
      <c r="AV24" s="305">
        <f>Чум!C27</f>
        <v>86.14</v>
      </c>
      <c r="AW24" s="306">
        <f>Чум!D27</f>
        <v>86.699160000000006</v>
      </c>
      <c r="AX24" s="298">
        <f t="shared" si="28"/>
        <v>100.6491293243557</v>
      </c>
      <c r="AY24" s="305">
        <f>Чум!C28</f>
        <v>0</v>
      </c>
      <c r="AZ24" s="306">
        <f>Чум!D28</f>
        <v>0</v>
      </c>
      <c r="BA24" s="298" t="e">
        <f t="shared" si="29"/>
        <v>#DIV/0!</v>
      </c>
      <c r="BB24" s="305"/>
      <c r="BC24" s="305"/>
      <c r="BD24" s="298" t="e">
        <f t="shared" si="30"/>
        <v>#DIV/0!</v>
      </c>
      <c r="BE24" s="298">
        <f>Чум!C30</f>
        <v>50</v>
      </c>
      <c r="BF24" s="301">
        <f>Чум!D30</f>
        <v>58.907350000000001</v>
      </c>
      <c r="BG24" s="298">
        <f t="shared" si="31"/>
        <v>117.8147</v>
      </c>
      <c r="BH24" s="298"/>
      <c r="BI24" s="298"/>
      <c r="BJ24" s="298"/>
      <c r="BK24" s="298">
        <f>Чум!C33</f>
        <v>0</v>
      </c>
      <c r="BL24" s="298">
        <f>Чум!D31</f>
        <v>78.477000000000004</v>
      </c>
      <c r="BM24" s="298" t="e">
        <f t="shared" si="32"/>
        <v>#DIV/0!</v>
      </c>
      <c r="BN24" s="298"/>
      <c r="BO24" s="298"/>
      <c r="BP24" s="298" t="e">
        <f t="shared" si="33"/>
        <v>#DIV/0!</v>
      </c>
      <c r="BQ24" s="298"/>
      <c r="BR24" s="298"/>
      <c r="BS24" s="298"/>
      <c r="BT24" s="298"/>
      <c r="BU24" s="298">
        <f>Чум!D34</f>
        <v>0</v>
      </c>
      <c r="BV24" s="291" t="e">
        <f t="shared" si="34"/>
        <v>#DIV/0!</v>
      </c>
      <c r="BW24" s="298">
        <f>Чум!C37</f>
        <v>122.24988</v>
      </c>
      <c r="BX24" s="298">
        <f>Чум!D37</f>
        <v>182.33452</v>
      </c>
      <c r="BY24" s="298">
        <f t="shared" si="35"/>
        <v>149.14903801950561</v>
      </c>
      <c r="BZ24" s="298"/>
      <c r="CA24" s="298"/>
      <c r="CB24" s="307" t="e">
        <f t="shared" si="36"/>
        <v>#DIV/0!</v>
      </c>
      <c r="CC24" s="307"/>
      <c r="CD24" s="307"/>
      <c r="CE24" s="307" t="e">
        <f t="shared" si="37"/>
        <v>#DIV/0!</v>
      </c>
      <c r="CF24" s="305">
        <f t="shared" si="38"/>
        <v>6927.40247</v>
      </c>
      <c r="CG24" s="305">
        <f t="shared" si="39"/>
        <v>6867.0774700000002</v>
      </c>
      <c r="CH24" s="298">
        <f t="shared" si="58"/>
        <v>99.129182976429547</v>
      </c>
      <c r="CI24" s="298">
        <f>Чум!C42</f>
        <v>3395.5</v>
      </c>
      <c r="CJ24" s="298">
        <f>Чум!D42</f>
        <v>3395.5</v>
      </c>
      <c r="CK24" s="298">
        <f t="shared" si="40"/>
        <v>100</v>
      </c>
      <c r="CL24" s="298">
        <f>Чум!C43</f>
        <v>0</v>
      </c>
      <c r="CM24" s="389">
        <f>Чум!D43</f>
        <v>0</v>
      </c>
      <c r="CN24" s="298" t="e">
        <f t="shared" si="41"/>
        <v>#DIV/0!</v>
      </c>
      <c r="CO24" s="298">
        <f>Чум!C44</f>
        <v>2915.1730699999998</v>
      </c>
      <c r="CP24" s="298">
        <f>Чум!D44</f>
        <v>2915.1730699999998</v>
      </c>
      <c r="CQ24" s="298">
        <f t="shared" si="9"/>
        <v>100</v>
      </c>
      <c r="CR24" s="298">
        <f>Чум!C45</f>
        <v>110.81102</v>
      </c>
      <c r="CS24" s="298">
        <f>Чум!D45</f>
        <v>110.81102</v>
      </c>
      <c r="CT24" s="298">
        <f t="shared" si="10"/>
        <v>100</v>
      </c>
      <c r="CU24" s="298">
        <f>Чум!C46</f>
        <v>505.91838000000001</v>
      </c>
      <c r="CV24" s="298">
        <f>Чум!D46</f>
        <v>445.59338000000002</v>
      </c>
      <c r="CW24" s="291">
        <f t="shared" si="42"/>
        <v>88.076139870624985</v>
      </c>
      <c r="CX24" s="309">
        <f>Чум!C50</f>
        <v>0</v>
      </c>
      <c r="CY24" s="298">
        <f>Чум!D50</f>
        <v>0</v>
      </c>
      <c r="CZ24" s="298" t="e">
        <f t="shared" si="11"/>
        <v>#DIV/0!</v>
      </c>
      <c r="DA24" s="298"/>
      <c r="DB24" s="298"/>
      <c r="DC24" s="298"/>
      <c r="DD24" s="305"/>
      <c r="DE24" s="305"/>
      <c r="DF24" s="298" t="e">
        <f t="shared" si="43"/>
        <v>#DIV/0!</v>
      </c>
      <c r="DG24" s="298"/>
      <c r="DH24" s="298"/>
      <c r="DI24" s="298"/>
      <c r="DJ24" s="298"/>
      <c r="DK24" s="298"/>
      <c r="DL24" s="298"/>
      <c r="DM24" s="300">
        <f t="shared" si="44"/>
        <v>8636.5371700000014</v>
      </c>
      <c r="DN24" s="300">
        <f t="shared" si="44"/>
        <v>8344.0469200000007</v>
      </c>
      <c r="DO24" s="298">
        <f t="shared" si="45"/>
        <v>96.613338838904099</v>
      </c>
      <c r="DP24" s="305">
        <f t="shared" si="46"/>
        <v>1722.4080000000001</v>
      </c>
      <c r="DQ24" s="305">
        <f t="shared" si="46"/>
        <v>1590.3137200000001</v>
      </c>
      <c r="DR24" s="298">
        <f t="shared" si="47"/>
        <v>92.330836828440184</v>
      </c>
      <c r="DS24" s="298">
        <f>Чум!C58</f>
        <v>1703.48</v>
      </c>
      <c r="DT24" s="298">
        <f>Чум!D58</f>
        <v>1581.38572</v>
      </c>
      <c r="DU24" s="298">
        <f t="shared" si="48"/>
        <v>92.832655505201117</v>
      </c>
      <c r="DV24" s="298">
        <f>Чум!C61</f>
        <v>0</v>
      </c>
      <c r="DW24" s="298">
        <f>Чум!D61</f>
        <v>0</v>
      </c>
      <c r="DX24" s="298" t="e">
        <f t="shared" si="49"/>
        <v>#DIV/0!</v>
      </c>
      <c r="DY24" s="298">
        <f>Чум!C62</f>
        <v>10</v>
      </c>
      <c r="DZ24" s="298">
        <f>Чум!D62</f>
        <v>0</v>
      </c>
      <c r="EA24" s="298">
        <f t="shared" si="50"/>
        <v>0</v>
      </c>
      <c r="EB24" s="298">
        <f>Чум!C63</f>
        <v>8.9280000000000008</v>
      </c>
      <c r="EC24" s="298">
        <f>Чум!D63</f>
        <v>8.9280000000000008</v>
      </c>
      <c r="ED24" s="298">
        <f t="shared" si="51"/>
        <v>100</v>
      </c>
      <c r="EE24" s="298">
        <f>Чум!C65</f>
        <v>110.81102</v>
      </c>
      <c r="EF24" s="298">
        <f>Чум!D65</f>
        <v>110.81102</v>
      </c>
      <c r="EG24" s="298">
        <f t="shared" si="52"/>
        <v>100</v>
      </c>
      <c r="EH24" s="298">
        <f>Чум!C66</f>
        <v>10.832000000000001</v>
      </c>
      <c r="EI24" s="298">
        <f>Чум!D66</f>
        <v>10.431339999999999</v>
      </c>
      <c r="EJ24" s="298">
        <f t="shared" si="53"/>
        <v>96.301144756277679</v>
      </c>
      <c r="EK24" s="305">
        <f>Чум!C72</f>
        <v>1530.38518</v>
      </c>
      <c r="EL24" s="305">
        <f>Чум!D72</f>
        <v>1504.65516</v>
      </c>
      <c r="EM24" s="298">
        <f t="shared" si="54"/>
        <v>98.318722610735165</v>
      </c>
      <c r="EN24" s="305">
        <f>Чум!C77</f>
        <v>4218.2709700000005</v>
      </c>
      <c r="EO24" s="305">
        <f>Чум!D77</f>
        <v>4084.0056800000002</v>
      </c>
      <c r="EP24" s="298">
        <f t="shared" si="55"/>
        <v>96.817053931459498</v>
      </c>
      <c r="EQ24" s="305">
        <f>Чум!C81</f>
        <v>1038.4000000000001</v>
      </c>
      <c r="ER24" s="310">
        <f>Чум!D81</f>
        <v>1038.4000000000001</v>
      </c>
      <c r="ES24" s="298">
        <f t="shared" si="12"/>
        <v>100</v>
      </c>
      <c r="ET24" s="298">
        <f>Чум!C83</f>
        <v>0</v>
      </c>
      <c r="EU24" s="298">
        <f>Чум!D83</f>
        <v>0</v>
      </c>
      <c r="EV24" s="298" t="e">
        <f t="shared" si="13"/>
        <v>#DIV/0!</v>
      </c>
      <c r="EW24" s="311">
        <f>Чум!C88</f>
        <v>5.43</v>
      </c>
      <c r="EX24" s="311">
        <f>Чум!D88</f>
        <v>5.43</v>
      </c>
      <c r="EY24" s="298">
        <f t="shared" si="56"/>
        <v>100</v>
      </c>
      <c r="EZ24" s="298">
        <f>Чум!C94</f>
        <v>0</v>
      </c>
      <c r="FA24" s="298">
        <f>Чум!D94</f>
        <v>0</v>
      </c>
      <c r="FB24" s="298" t="e">
        <f t="shared" si="57"/>
        <v>#DIV/0!</v>
      </c>
      <c r="FC24" s="420">
        <f t="shared" si="14"/>
        <v>-328.18882000000121</v>
      </c>
      <c r="FD24" s="420">
        <f t="shared" si="15"/>
        <v>134.52896999999939</v>
      </c>
      <c r="FE24" s="298">
        <f t="shared" si="59"/>
        <v>-40.991332367750644</v>
      </c>
      <c r="FF24" s="248"/>
      <c r="FG24" s="249"/>
      <c r="FI24" s="249"/>
    </row>
    <row r="25" spans="1:176" s="169" customFormat="1" ht="22.5" customHeight="1" x14ac:dyDescent="0.25">
      <c r="A25" s="334">
        <v>12</v>
      </c>
      <c r="B25" s="335" t="s">
        <v>293</v>
      </c>
      <c r="C25" s="314">
        <f t="shared" si="16"/>
        <v>9784.2703999999994</v>
      </c>
      <c r="D25" s="315">
        <f t="shared" si="0"/>
        <v>9987.5324799999999</v>
      </c>
      <c r="E25" s="301">
        <f t="shared" si="1"/>
        <v>102.0774372711531</v>
      </c>
      <c r="F25" s="292">
        <f t="shared" si="17"/>
        <v>2751.2668999999996</v>
      </c>
      <c r="G25" s="316">
        <f t="shared" si="3"/>
        <v>3111.4520299999995</v>
      </c>
      <c r="H25" s="301">
        <f t="shared" si="18"/>
        <v>113.09160990524039</v>
      </c>
      <c r="I25" s="291">
        <f t="shared" si="19"/>
        <v>890.2</v>
      </c>
      <c r="J25" s="301"/>
      <c r="K25" s="301"/>
      <c r="L25" s="300">
        <f>Шать!C6</f>
        <v>60</v>
      </c>
      <c r="M25" s="383">
        <f>Шать!D6</f>
        <v>54.596049999999998</v>
      </c>
      <c r="N25" s="301">
        <f t="shared" si="20"/>
        <v>90.993416666666661</v>
      </c>
      <c r="O25" s="291">
        <f t="shared" si="4"/>
        <v>420.20000000000005</v>
      </c>
      <c r="P25" s="291">
        <f t="shared" si="5"/>
        <v>496.80062000000004</v>
      </c>
      <c r="Q25" s="301"/>
      <c r="R25" s="301">
        <f>Шать!C8</f>
        <v>156.73500000000001</v>
      </c>
      <c r="S25" s="301">
        <f>Шать!D8</f>
        <v>249.04965000000001</v>
      </c>
      <c r="T25" s="301">
        <f t="shared" si="21"/>
        <v>158.89855488563498</v>
      </c>
      <c r="U25" s="301">
        <f>Шать!C9</f>
        <v>1.68</v>
      </c>
      <c r="V25" s="301">
        <f>Шать!D9</f>
        <v>1.3452599999999999</v>
      </c>
      <c r="W25" s="301">
        <f t="shared" si="22"/>
        <v>80.075000000000003</v>
      </c>
      <c r="X25" s="301">
        <f>Шать!C10</f>
        <v>261.78500000000003</v>
      </c>
      <c r="Y25" s="301">
        <f>Шать!D10</f>
        <v>274.97894000000002</v>
      </c>
      <c r="Z25" s="301">
        <f t="shared" si="23"/>
        <v>105.03999083217144</v>
      </c>
      <c r="AA25" s="301">
        <f>Шать!C11</f>
        <v>0</v>
      </c>
      <c r="AB25" s="317">
        <f>Шать!D11</f>
        <v>-28.573229999999999</v>
      </c>
      <c r="AC25" s="301" t="e">
        <f t="shared" si="24"/>
        <v>#DIV/0!</v>
      </c>
      <c r="AD25" s="300">
        <f>Шать!C13</f>
        <v>10</v>
      </c>
      <c r="AE25" s="300">
        <f>Шать!D13</f>
        <v>3.4327999999999999</v>
      </c>
      <c r="AF25" s="301">
        <f t="shared" si="25"/>
        <v>34.327999999999996</v>
      </c>
      <c r="AG25" s="300">
        <f>Шать!C15</f>
        <v>90</v>
      </c>
      <c r="AH25" s="297">
        <f>Шать!D15</f>
        <v>127.09181</v>
      </c>
      <c r="AI25" s="301">
        <f t="shared" si="26"/>
        <v>141.21312222222221</v>
      </c>
      <c r="AJ25" s="300">
        <f>Шать!C16</f>
        <v>307</v>
      </c>
      <c r="AK25" s="300">
        <f>Шать!D16</f>
        <v>319.56335999999999</v>
      </c>
      <c r="AL25" s="301">
        <f t="shared" si="6"/>
        <v>104.0922996742671</v>
      </c>
      <c r="AM25" s="301">
        <f>Шать!C18</f>
        <v>3</v>
      </c>
      <c r="AN25" s="301">
        <f>Шать!D18</f>
        <v>2</v>
      </c>
      <c r="AO25" s="301">
        <f t="shared" si="27"/>
        <v>66.666666666666657</v>
      </c>
      <c r="AP25" s="301"/>
      <c r="AQ25" s="301"/>
      <c r="AR25" s="301" t="e">
        <f>AP25/AQ25*100</f>
        <v>#DIV/0!</v>
      </c>
      <c r="AS25" s="300">
        <v>0</v>
      </c>
      <c r="AT25" s="300">
        <f>0</f>
        <v>0</v>
      </c>
      <c r="AU25" s="301" t="e">
        <f t="shared" si="8"/>
        <v>#DIV/0!</v>
      </c>
      <c r="AV25" s="300">
        <f>Шать!C27</f>
        <v>180</v>
      </c>
      <c r="AW25" s="306">
        <f>Шать!D27</f>
        <v>240.8073</v>
      </c>
      <c r="AX25" s="301">
        <f t="shared" si="28"/>
        <v>133.78183333333334</v>
      </c>
      <c r="AY25" s="300">
        <f>Шать!C28</f>
        <v>20</v>
      </c>
      <c r="AZ25" s="297">
        <f>Шать!D28</f>
        <v>26.011199999999999</v>
      </c>
      <c r="BA25" s="301">
        <f t="shared" si="29"/>
        <v>130.05599999999998</v>
      </c>
      <c r="BB25" s="300"/>
      <c r="BC25" s="300"/>
      <c r="BD25" s="301" t="e">
        <f t="shared" si="30"/>
        <v>#DIV/0!</v>
      </c>
      <c r="BE25" s="301">
        <f>Шать!C29</f>
        <v>30</v>
      </c>
      <c r="BF25" s="301">
        <f>Шать!D29</f>
        <v>32.162050000000001</v>
      </c>
      <c r="BG25" s="301">
        <f t="shared" si="31"/>
        <v>107.20683333333334</v>
      </c>
      <c r="BH25" s="301"/>
      <c r="BI25" s="301"/>
      <c r="BJ25" s="301"/>
      <c r="BK25" s="301">
        <f>Шать!C31</f>
        <v>1294.56</v>
      </c>
      <c r="BL25" s="301">
        <f>Шать!D31</f>
        <v>1320.396</v>
      </c>
      <c r="BM25" s="301">
        <f t="shared" si="32"/>
        <v>101.99573600296625</v>
      </c>
      <c r="BN25" s="301"/>
      <c r="BO25" s="301"/>
      <c r="BP25" s="301" t="e">
        <f t="shared" si="33"/>
        <v>#DIV/0!</v>
      </c>
      <c r="BQ25" s="301"/>
      <c r="BR25" s="301"/>
      <c r="BS25" s="301"/>
      <c r="BT25" s="301">
        <f>Шать!C34</f>
        <v>0</v>
      </c>
      <c r="BU25" s="301">
        <f>Шать!D34</f>
        <v>0</v>
      </c>
      <c r="BV25" s="291" t="e">
        <f t="shared" si="34"/>
        <v>#DIV/0!</v>
      </c>
      <c r="BW25" s="301">
        <f>Шать!C37</f>
        <v>336.50689999999997</v>
      </c>
      <c r="BX25" s="298">
        <f>SUM(Шать!D37)</f>
        <v>488.59084000000001</v>
      </c>
      <c r="BY25" s="301">
        <f t="shared" si="35"/>
        <v>145.19489496352082</v>
      </c>
      <c r="BZ25" s="301"/>
      <c r="CA25" s="301"/>
      <c r="CB25" s="318" t="e">
        <f t="shared" si="36"/>
        <v>#DIV/0!</v>
      </c>
      <c r="CC25" s="318"/>
      <c r="CD25" s="318"/>
      <c r="CE25" s="318" t="e">
        <f t="shared" si="37"/>
        <v>#DIV/0!</v>
      </c>
      <c r="CF25" s="300">
        <f t="shared" si="38"/>
        <v>7033.0034999999998</v>
      </c>
      <c r="CG25" s="296">
        <f t="shared" si="39"/>
        <v>6876.0804500000004</v>
      </c>
      <c r="CH25" s="301">
        <f t="shared" si="58"/>
        <v>97.768761952130419</v>
      </c>
      <c r="CI25" s="301">
        <f>Шать!C42</f>
        <v>1897.8</v>
      </c>
      <c r="CJ25" s="301">
        <f>Шать!D42</f>
        <v>1897.8</v>
      </c>
      <c r="CK25" s="301">
        <f t="shared" si="40"/>
        <v>100</v>
      </c>
      <c r="CL25" s="301">
        <f>Шать!C43</f>
        <v>0</v>
      </c>
      <c r="CM25" s="390">
        <f>Шать!D43</f>
        <v>0</v>
      </c>
      <c r="CN25" s="301" t="e">
        <f t="shared" si="41"/>
        <v>#DIV/0!</v>
      </c>
      <c r="CO25" s="301">
        <f>Шать!C44</f>
        <v>4067.5971199999999</v>
      </c>
      <c r="CP25" s="301">
        <f>Шать!D44</f>
        <v>3921.6578399999999</v>
      </c>
      <c r="CQ25" s="301">
        <f t="shared" si="9"/>
        <v>96.412150080389466</v>
      </c>
      <c r="CR25" s="301">
        <f>Шать!C45</f>
        <v>117.81358</v>
      </c>
      <c r="CS25" s="301">
        <f>Шать!D45</f>
        <v>117.81358</v>
      </c>
      <c r="CT25" s="301">
        <f t="shared" si="10"/>
        <v>100</v>
      </c>
      <c r="CU25" s="301">
        <f>Шать!C46</f>
        <v>949.79280000000006</v>
      </c>
      <c r="CV25" s="301">
        <f>Шать!D46</f>
        <v>938.80903000000001</v>
      </c>
      <c r="CW25" s="291">
        <f t="shared" si="42"/>
        <v>98.843561458878185</v>
      </c>
      <c r="CX25" s="317">
        <f>Шать!C50</f>
        <v>0</v>
      </c>
      <c r="CY25" s="301">
        <f>Шать!D50</f>
        <v>0</v>
      </c>
      <c r="CZ25" s="301" t="e">
        <f t="shared" si="11"/>
        <v>#DIV/0!</v>
      </c>
      <c r="DA25" s="301"/>
      <c r="DB25" s="301"/>
      <c r="DC25" s="301"/>
      <c r="DD25" s="300"/>
      <c r="DE25" s="300"/>
      <c r="DF25" s="301" t="e">
        <f t="shared" si="43"/>
        <v>#DIV/0!</v>
      </c>
      <c r="DG25" s="301"/>
      <c r="DH25" s="301"/>
      <c r="DI25" s="301"/>
      <c r="DJ25" s="301"/>
      <c r="DK25" s="301"/>
      <c r="DL25" s="301"/>
      <c r="DM25" s="300">
        <f t="shared" si="44"/>
        <v>10111.471560000002</v>
      </c>
      <c r="DN25" s="300">
        <f t="shared" si="44"/>
        <v>9878.4558399999987</v>
      </c>
      <c r="DO25" s="301">
        <f>DN25/DM25*100</f>
        <v>97.695531074608468</v>
      </c>
      <c r="DP25" s="300">
        <f t="shared" si="46"/>
        <v>1621.973</v>
      </c>
      <c r="DQ25" s="300">
        <f t="shared" si="46"/>
        <v>1574.0285399999998</v>
      </c>
      <c r="DR25" s="301">
        <f t="shared" si="47"/>
        <v>97.044065468414075</v>
      </c>
      <c r="DS25" s="301">
        <f>Шать!C58</f>
        <v>1593.9970000000001</v>
      </c>
      <c r="DT25" s="301">
        <f>Шать!D58</f>
        <v>1551.0525399999999</v>
      </c>
      <c r="DU25" s="301">
        <f t="shared" si="48"/>
        <v>97.305863185438852</v>
      </c>
      <c r="DV25" s="301">
        <f>Шать!C61</f>
        <v>0</v>
      </c>
      <c r="DW25" s="301">
        <f>Шать!D61</f>
        <v>0</v>
      </c>
      <c r="DX25" s="301" t="e">
        <f t="shared" si="49"/>
        <v>#DIV/0!</v>
      </c>
      <c r="DY25" s="301">
        <f>Шать!C62</f>
        <v>5</v>
      </c>
      <c r="DZ25" s="301">
        <f>Шать!D62</f>
        <v>0</v>
      </c>
      <c r="EA25" s="301">
        <f t="shared" si="50"/>
        <v>0</v>
      </c>
      <c r="EB25" s="301">
        <f>Шать!C63</f>
        <v>22.975999999999999</v>
      </c>
      <c r="EC25" s="301">
        <f>Шать!D63</f>
        <v>22.975999999999999</v>
      </c>
      <c r="ED25" s="301">
        <f t="shared" si="51"/>
        <v>100</v>
      </c>
      <c r="EE25" s="301">
        <f>Шать!C65</f>
        <v>110.66728000000001</v>
      </c>
      <c r="EF25" s="301">
        <f>Шать!D65</f>
        <v>110.66728000000001</v>
      </c>
      <c r="EG25" s="301">
        <f t="shared" si="52"/>
        <v>100</v>
      </c>
      <c r="EH25" s="301">
        <f>Шать!C66</f>
        <v>3</v>
      </c>
      <c r="EI25" s="301">
        <f>Шать!D66</f>
        <v>2.83134</v>
      </c>
      <c r="EJ25" s="301">
        <f t="shared" si="53"/>
        <v>94.378</v>
      </c>
      <c r="EK25" s="300">
        <f>Шать!C72</f>
        <v>2892.2158200000003</v>
      </c>
      <c r="EL25" s="300">
        <f>Шать!D72</f>
        <v>2864.5189300000002</v>
      </c>
      <c r="EM25" s="301">
        <f t="shared" si="54"/>
        <v>99.042364341952876</v>
      </c>
      <c r="EN25" s="300">
        <f>Шать!C77</f>
        <v>4753.36546</v>
      </c>
      <c r="EO25" s="300">
        <f>Шать!D77</f>
        <v>4596.1597499999998</v>
      </c>
      <c r="EP25" s="301">
        <f t="shared" si="55"/>
        <v>96.692749351529969</v>
      </c>
      <c r="EQ25" s="300">
        <f>Шать!C81</f>
        <v>705.42</v>
      </c>
      <c r="ER25" s="319">
        <f>Шать!D81</f>
        <v>705.42</v>
      </c>
      <c r="ES25" s="301">
        <f t="shared" si="12"/>
        <v>100</v>
      </c>
      <c r="ET25" s="301">
        <f>Шать!C83</f>
        <v>0</v>
      </c>
      <c r="EU25" s="301">
        <f>Шать!D83</f>
        <v>0</v>
      </c>
      <c r="EV25" s="301" t="e">
        <f t="shared" si="13"/>
        <v>#DIV/0!</v>
      </c>
      <c r="EW25" s="316">
        <f>Шать!C88</f>
        <v>24.83</v>
      </c>
      <c r="EX25" s="316">
        <f>Шать!D88</f>
        <v>24.83</v>
      </c>
      <c r="EY25" s="301">
        <f t="shared" si="56"/>
        <v>100</v>
      </c>
      <c r="EZ25" s="301">
        <f>Шать!C94</f>
        <v>0</v>
      </c>
      <c r="FA25" s="301">
        <f>Шать!D94</f>
        <v>0</v>
      </c>
      <c r="FB25" s="301" t="e">
        <f t="shared" si="57"/>
        <v>#DIV/0!</v>
      </c>
      <c r="FC25" s="419">
        <f t="shared" si="14"/>
        <v>-327.20116000000235</v>
      </c>
      <c r="FD25" s="419">
        <f t="shared" si="15"/>
        <v>109.07664000000113</v>
      </c>
      <c r="FE25" s="301">
        <f t="shared" si="59"/>
        <v>-33.336263233296712</v>
      </c>
      <c r="FF25" s="167"/>
      <c r="FG25" s="168"/>
      <c r="FI25" s="168"/>
    </row>
    <row r="26" spans="1:176" s="250" customFormat="1" ht="24.75" customHeight="1" x14ac:dyDescent="0.25">
      <c r="A26" s="337">
        <v>13</v>
      </c>
      <c r="B26" s="333" t="s">
        <v>294</v>
      </c>
      <c r="C26" s="312">
        <f t="shared" si="16"/>
        <v>13767.251459999999</v>
      </c>
      <c r="D26" s="290">
        <f t="shared" si="0"/>
        <v>15229.783350000002</v>
      </c>
      <c r="E26" s="298">
        <f t="shared" si="1"/>
        <v>110.62326706423072</v>
      </c>
      <c r="F26" s="292">
        <f t="shared" si="17"/>
        <v>2863.75</v>
      </c>
      <c r="G26" s="311">
        <f t="shared" si="3"/>
        <v>4350.9584100000002</v>
      </c>
      <c r="H26" s="298">
        <f t="shared" si="18"/>
        <v>151.93220113487561</v>
      </c>
      <c r="I26" s="291">
        <f t="shared" si="19"/>
        <v>2365.75</v>
      </c>
      <c r="J26" s="298"/>
      <c r="K26" s="298"/>
      <c r="L26" s="305">
        <f>Юнг!C6</f>
        <v>149</v>
      </c>
      <c r="M26" s="383">
        <f>Юнг!D6</f>
        <v>177.08707000000001</v>
      </c>
      <c r="N26" s="298">
        <f t="shared" si="20"/>
        <v>118.85038255033558</v>
      </c>
      <c r="O26" s="291">
        <f t="shared" si="4"/>
        <v>675.75</v>
      </c>
      <c r="P26" s="291">
        <f t="shared" si="5"/>
        <v>798.90917000000002</v>
      </c>
      <c r="Q26" s="298"/>
      <c r="R26" s="298">
        <f>Юнг!C8</f>
        <v>252.05500000000001</v>
      </c>
      <c r="S26" s="298">
        <f>Юнг!D8</f>
        <v>400.49876999999998</v>
      </c>
      <c r="T26" s="298">
        <f t="shared" si="21"/>
        <v>158.89340421733351</v>
      </c>
      <c r="U26" s="298">
        <f>Юнг!C9</f>
        <v>2.7029999999999998</v>
      </c>
      <c r="V26" s="298">
        <f>Юнг!D9</f>
        <v>2.1633399999999998</v>
      </c>
      <c r="W26" s="298">
        <f t="shared" si="22"/>
        <v>80.034776174620788</v>
      </c>
      <c r="X26" s="298">
        <f>Юнг!C10</f>
        <v>420.99200000000002</v>
      </c>
      <c r="Y26" s="298">
        <f>Юнг!D10</f>
        <v>442.19587999999999</v>
      </c>
      <c r="Z26" s="298">
        <f t="shared" si="23"/>
        <v>105.03664677713589</v>
      </c>
      <c r="AA26" s="298">
        <f>Юнг!C11</f>
        <v>0</v>
      </c>
      <c r="AB26" s="309">
        <f>Юнг!D11</f>
        <v>-45.948819999999998</v>
      </c>
      <c r="AC26" s="298" t="e">
        <f t="shared" si="24"/>
        <v>#DIV/0!</v>
      </c>
      <c r="AD26" s="305">
        <f>Юнг!C13</f>
        <v>80</v>
      </c>
      <c r="AE26" s="305">
        <f>Юнг!D13</f>
        <v>81.321929999999995</v>
      </c>
      <c r="AF26" s="298">
        <f t="shared" si="25"/>
        <v>101.65241249999998</v>
      </c>
      <c r="AG26" s="305">
        <f>Юнг!C15</f>
        <v>433</v>
      </c>
      <c r="AH26" s="297">
        <f>Юнг!D15</f>
        <v>411.26123999999999</v>
      </c>
      <c r="AI26" s="298">
        <f t="shared" si="26"/>
        <v>94.979501154734407</v>
      </c>
      <c r="AJ26" s="305">
        <f>Юнг!C16</f>
        <v>1020</v>
      </c>
      <c r="AK26" s="305">
        <f>Юнг!D16</f>
        <v>962.31596000000002</v>
      </c>
      <c r="AL26" s="298">
        <f t="shared" si="6"/>
        <v>94.34470196078432</v>
      </c>
      <c r="AM26" s="298">
        <f>Юнг!C18</f>
        <v>8</v>
      </c>
      <c r="AN26" s="298">
        <f>Юнг!D18</f>
        <v>3.2</v>
      </c>
      <c r="AO26" s="298">
        <f t="shared" si="27"/>
        <v>40</v>
      </c>
      <c r="AP26" s="298"/>
      <c r="AQ26" s="298"/>
      <c r="AR26" s="298" t="e">
        <f>AP26/AQ26*100</f>
        <v>#DIV/0!</v>
      </c>
      <c r="AS26" s="305">
        <v>0</v>
      </c>
      <c r="AT26" s="305"/>
      <c r="AU26" s="298" t="e">
        <f t="shared" si="8"/>
        <v>#DIV/0!</v>
      </c>
      <c r="AV26" s="305">
        <f>Юнг!C27</f>
        <v>388</v>
      </c>
      <c r="AW26" s="306">
        <f>Юнг!D27</f>
        <v>499.31668999999999</v>
      </c>
      <c r="AX26" s="298">
        <f t="shared" si="28"/>
        <v>128.68986855670104</v>
      </c>
      <c r="AY26" s="305">
        <f>Юнг!C28</f>
        <v>30</v>
      </c>
      <c r="AZ26" s="306">
        <f>Юнг!D28</f>
        <v>29.382000000000001</v>
      </c>
      <c r="BA26" s="298">
        <f t="shared" si="29"/>
        <v>97.94</v>
      </c>
      <c r="BB26" s="305"/>
      <c r="BC26" s="305"/>
      <c r="BD26" s="298" t="e">
        <f t="shared" si="30"/>
        <v>#DIV/0!</v>
      </c>
      <c r="BE26" s="298">
        <f>Юнг!C30</f>
        <v>80</v>
      </c>
      <c r="BF26" s="301">
        <f>Юнг!D30</f>
        <v>97.995909999999995</v>
      </c>
      <c r="BG26" s="298">
        <f t="shared" si="31"/>
        <v>122.49488749999999</v>
      </c>
      <c r="BH26" s="298"/>
      <c r="BI26" s="298"/>
      <c r="BJ26" s="298"/>
      <c r="BK26" s="298">
        <f>Юнг!C33</f>
        <v>0</v>
      </c>
      <c r="BL26" s="298">
        <f>Юнг!D31</f>
        <v>0</v>
      </c>
      <c r="BM26" s="298" t="e">
        <f t="shared" si="32"/>
        <v>#DIV/0!</v>
      </c>
      <c r="BN26" s="298"/>
      <c r="BO26" s="298"/>
      <c r="BP26" s="298" t="e">
        <f t="shared" si="33"/>
        <v>#DIV/0!</v>
      </c>
      <c r="BQ26" s="298"/>
      <c r="BR26" s="298"/>
      <c r="BS26" s="298"/>
      <c r="BT26" s="298">
        <f>Юнг!C34</f>
        <v>0</v>
      </c>
      <c r="BU26" s="298">
        <f>Юнг!D34</f>
        <v>43.13044</v>
      </c>
      <c r="BV26" s="291" t="e">
        <f t="shared" si="34"/>
        <v>#DIV/0!</v>
      </c>
      <c r="BW26" s="298">
        <f>Юнг!C36</f>
        <v>0</v>
      </c>
      <c r="BX26" s="298">
        <f>Юнг!D36</f>
        <v>1247.038</v>
      </c>
      <c r="BY26" s="298" t="e">
        <f t="shared" si="35"/>
        <v>#DIV/0!</v>
      </c>
      <c r="BZ26" s="298"/>
      <c r="CA26" s="298"/>
      <c r="CB26" s="307" t="e">
        <f t="shared" si="36"/>
        <v>#DIV/0!</v>
      </c>
      <c r="CC26" s="307"/>
      <c r="CD26" s="307"/>
      <c r="CE26" s="307" t="e">
        <f t="shared" si="37"/>
        <v>#DIV/0!</v>
      </c>
      <c r="CF26" s="305">
        <f t="shared" si="38"/>
        <v>10903.501459999999</v>
      </c>
      <c r="CG26" s="305">
        <f t="shared" si="39"/>
        <v>10878.82494</v>
      </c>
      <c r="CH26" s="298">
        <f t="shared" si="58"/>
        <v>99.773682609292749</v>
      </c>
      <c r="CI26" s="298">
        <f>Юнг!C41</f>
        <v>2417.4</v>
      </c>
      <c r="CJ26" s="298">
        <f>Юнг!D41</f>
        <v>2417.4</v>
      </c>
      <c r="CK26" s="298">
        <f t="shared" si="40"/>
        <v>100</v>
      </c>
      <c r="CL26" s="298">
        <f>Юнг!C42</f>
        <v>0</v>
      </c>
      <c r="CM26" s="389">
        <f>Юнг!D42</f>
        <v>0</v>
      </c>
      <c r="CN26" s="298" t="e">
        <f t="shared" si="41"/>
        <v>#DIV/0!</v>
      </c>
      <c r="CO26" s="298">
        <f>Юнг!C43</f>
        <v>6027.2349999999997</v>
      </c>
      <c r="CP26" s="298">
        <f>Юнг!D43</f>
        <v>6027.2349999999997</v>
      </c>
      <c r="CQ26" s="298">
        <f t="shared" si="9"/>
        <v>100</v>
      </c>
      <c r="CR26" s="298">
        <f>Юнг!C44</f>
        <v>109.41849000000001</v>
      </c>
      <c r="CS26" s="298">
        <f>Юнг!D44</f>
        <v>109.41849000000001</v>
      </c>
      <c r="CT26" s="298">
        <f t="shared" si="10"/>
        <v>100</v>
      </c>
      <c r="CU26" s="298">
        <f>Юнг!C45</f>
        <v>2349.4479700000002</v>
      </c>
      <c r="CV26" s="298">
        <f>Юнг!D45</f>
        <v>2324.7714500000002</v>
      </c>
      <c r="CW26" s="291">
        <f t="shared" si="42"/>
        <v>98.949688594295623</v>
      </c>
      <c r="CX26" s="309">
        <f>Юнг!C48</f>
        <v>0</v>
      </c>
      <c r="CY26" s="298">
        <f>Юнг!D48</f>
        <v>0</v>
      </c>
      <c r="CZ26" s="298" t="e">
        <f t="shared" si="11"/>
        <v>#DIV/0!</v>
      </c>
      <c r="DA26" s="298"/>
      <c r="DB26" s="298">
        <f>Юнг!D47</f>
        <v>0</v>
      </c>
      <c r="DC26" s="298"/>
      <c r="DD26" s="305"/>
      <c r="DE26" s="305"/>
      <c r="DF26" s="298" t="e">
        <f t="shared" si="43"/>
        <v>#DIV/0!</v>
      </c>
      <c r="DG26" s="298"/>
      <c r="DH26" s="298"/>
      <c r="DI26" s="298"/>
      <c r="DJ26" s="298"/>
      <c r="DK26" s="298"/>
      <c r="DL26" s="298"/>
      <c r="DM26" s="300">
        <f t="shared" si="44"/>
        <v>14152.11717</v>
      </c>
      <c r="DN26" s="300">
        <f t="shared" si="44"/>
        <v>13936.762209999999</v>
      </c>
      <c r="DO26" s="298">
        <f t="shared" si="45"/>
        <v>98.478284503914963</v>
      </c>
      <c r="DP26" s="305">
        <f t="shared" si="46"/>
        <v>1975.951</v>
      </c>
      <c r="DQ26" s="305">
        <f t="shared" si="46"/>
        <v>1916.6508399999998</v>
      </c>
      <c r="DR26" s="298">
        <f t="shared" si="47"/>
        <v>96.998905337227484</v>
      </c>
      <c r="DS26" s="298">
        <f>Юнг!C57</f>
        <v>1915.6289999999999</v>
      </c>
      <c r="DT26" s="298">
        <f>Юнг!D57</f>
        <v>1877.3288399999999</v>
      </c>
      <c r="DU26" s="298">
        <f t="shared" si="48"/>
        <v>98.000648351011606</v>
      </c>
      <c r="DV26" s="298">
        <f>Юнг!C60</f>
        <v>0</v>
      </c>
      <c r="DW26" s="298">
        <f>Юнг!D60</f>
        <v>0</v>
      </c>
      <c r="DX26" s="298" t="e">
        <f t="shared" si="49"/>
        <v>#DIV/0!</v>
      </c>
      <c r="DY26" s="298">
        <f>Юнг!C61</f>
        <v>1</v>
      </c>
      <c r="DZ26" s="298">
        <f>Юнг!D61</f>
        <v>0</v>
      </c>
      <c r="EA26" s="298">
        <f t="shared" si="50"/>
        <v>0</v>
      </c>
      <c r="EB26" s="298">
        <f>Юнг!C62</f>
        <v>59.322000000000003</v>
      </c>
      <c r="EC26" s="298">
        <f>Юнг!D62</f>
        <v>39.322000000000003</v>
      </c>
      <c r="ED26" s="298">
        <f t="shared" si="51"/>
        <v>66.285695020397156</v>
      </c>
      <c r="EE26" s="298">
        <f>Юнг!C64</f>
        <v>109.41849000000001</v>
      </c>
      <c r="EF26" s="298">
        <f>Юнг!D64</f>
        <v>109.41849000000001</v>
      </c>
      <c r="EG26" s="298">
        <f t="shared" si="52"/>
        <v>100</v>
      </c>
      <c r="EH26" s="298">
        <f>Юнг!C65</f>
        <v>224.83500000000001</v>
      </c>
      <c r="EI26" s="298">
        <f>Юнг!D65</f>
        <v>223.83735000000001</v>
      </c>
      <c r="EJ26" s="298">
        <f t="shared" si="53"/>
        <v>99.556274601374341</v>
      </c>
      <c r="EK26" s="305">
        <f>Юнг!C71</f>
        <v>2267.98171</v>
      </c>
      <c r="EL26" s="305">
        <f>Юнг!D71</f>
        <v>2143.27207</v>
      </c>
      <c r="EM26" s="298">
        <f t="shared" si="54"/>
        <v>94.501294280719748</v>
      </c>
      <c r="EN26" s="305">
        <f>Юнг!C76</f>
        <v>6621.64545</v>
      </c>
      <c r="EO26" s="305">
        <f>Юнг!D76</f>
        <v>6616.0744599999998</v>
      </c>
      <c r="EP26" s="298">
        <f t="shared" si="55"/>
        <v>99.915866984391329</v>
      </c>
      <c r="EQ26" s="305">
        <f>Юнг!C80</f>
        <v>2920.6515199999999</v>
      </c>
      <c r="ER26" s="310">
        <f>Юнг!D80</f>
        <v>2895.875</v>
      </c>
      <c r="ES26" s="298">
        <f t="shared" si="12"/>
        <v>99.151678321417819</v>
      </c>
      <c r="ET26" s="298">
        <f>Юнг!C82</f>
        <v>0</v>
      </c>
      <c r="EU26" s="298">
        <f>Юнг!D82</f>
        <v>0</v>
      </c>
      <c r="EV26" s="298" t="e">
        <f t="shared" si="13"/>
        <v>#DIV/0!</v>
      </c>
      <c r="EW26" s="311">
        <f>Юнг!C87</f>
        <v>31.634</v>
      </c>
      <c r="EX26" s="311">
        <f>Юнг!D87</f>
        <v>31.634</v>
      </c>
      <c r="EY26" s="298">
        <f t="shared" si="56"/>
        <v>100</v>
      </c>
      <c r="EZ26" s="298">
        <f>Юнг!C93</f>
        <v>0</v>
      </c>
      <c r="FA26" s="298">
        <f>Юнг!D93</f>
        <v>0</v>
      </c>
      <c r="FB26" s="298" t="e">
        <f t="shared" si="57"/>
        <v>#DIV/0!</v>
      </c>
      <c r="FC26" s="420">
        <f t="shared" si="14"/>
        <v>-384.86571000000004</v>
      </c>
      <c r="FD26" s="420">
        <f t="shared" si="15"/>
        <v>1293.0211400000026</v>
      </c>
      <c r="FE26" s="298">
        <f t="shared" si="59"/>
        <v>-335.96683373013468</v>
      </c>
      <c r="FF26" s="248"/>
      <c r="FG26" s="249"/>
      <c r="FI26" s="249"/>
    </row>
    <row r="27" spans="1:176" s="157" customFormat="1" ht="25.5" customHeight="1" x14ac:dyDescent="0.25">
      <c r="A27" s="331">
        <v>14</v>
      </c>
      <c r="B27" s="333" t="s">
        <v>295</v>
      </c>
      <c r="C27" s="289">
        <f t="shared" si="16"/>
        <v>13620.569669999999</v>
      </c>
      <c r="D27" s="290">
        <f t="shared" si="0"/>
        <v>13968.741890000001</v>
      </c>
      <c r="E27" s="298">
        <f t="shared" si="1"/>
        <v>102.55622362673178</v>
      </c>
      <c r="F27" s="292">
        <f t="shared" si="17"/>
        <v>1817.7319999999997</v>
      </c>
      <c r="G27" s="292">
        <f t="shared" si="3"/>
        <v>2265.5085200000003</v>
      </c>
      <c r="H27" s="298">
        <f t="shared" si="18"/>
        <v>124.63380300286295</v>
      </c>
      <c r="I27" s="291">
        <f t="shared" si="19"/>
        <v>1274.1300000000001</v>
      </c>
      <c r="J27" s="298"/>
      <c r="K27" s="298"/>
      <c r="L27" s="305">
        <f>Юсь!C6</f>
        <v>171</v>
      </c>
      <c r="M27" s="383">
        <f>Юсь!D6</f>
        <v>214.43786</v>
      </c>
      <c r="N27" s="298">
        <f t="shared" si="20"/>
        <v>125.40225730994152</v>
      </c>
      <c r="O27" s="291">
        <f t="shared" si="4"/>
        <v>616.13</v>
      </c>
      <c r="P27" s="291">
        <f t="shared" si="5"/>
        <v>728.41717000000006</v>
      </c>
      <c r="Q27" s="298"/>
      <c r="R27" s="298">
        <f>Юсь!C8</f>
        <v>229.816</v>
      </c>
      <c r="S27" s="298">
        <f>Юсь!D8</f>
        <v>365.16064</v>
      </c>
      <c r="T27" s="291">
        <f t="shared" si="21"/>
        <v>158.89260973996588</v>
      </c>
      <c r="U27" s="291">
        <f>Юсь!C9</f>
        <v>2.4649999999999999</v>
      </c>
      <c r="V27" s="291">
        <f>Юсь!D9</f>
        <v>1.97244</v>
      </c>
      <c r="W27" s="291">
        <f t="shared" si="22"/>
        <v>80.017849898580124</v>
      </c>
      <c r="X27" s="291">
        <f>Юсь!C10</f>
        <v>383.84899999999999</v>
      </c>
      <c r="Y27" s="291">
        <f>Юсь!D10</f>
        <v>403.17858999999999</v>
      </c>
      <c r="Z27" s="291">
        <f t="shared" si="23"/>
        <v>105.03572759079742</v>
      </c>
      <c r="AA27" s="291">
        <f>Юсь!C11</f>
        <v>0</v>
      </c>
      <c r="AB27" s="295">
        <f>Юсь!D11</f>
        <v>-41.894500000000001</v>
      </c>
      <c r="AC27" s="291" t="e">
        <f t="shared" si="24"/>
        <v>#DIV/0!</v>
      </c>
      <c r="AD27" s="305">
        <f>Юсь!C13</f>
        <v>10</v>
      </c>
      <c r="AE27" s="305">
        <f>Юсь!D13</f>
        <v>0</v>
      </c>
      <c r="AF27" s="298">
        <f t="shared" si="25"/>
        <v>0</v>
      </c>
      <c r="AG27" s="305">
        <f>Юсь!C15</f>
        <v>124</v>
      </c>
      <c r="AH27" s="297">
        <f>Юсь!D15</f>
        <v>132.71872999999999</v>
      </c>
      <c r="AI27" s="298">
        <f t="shared" si="26"/>
        <v>107.03123387096774</v>
      </c>
      <c r="AJ27" s="305">
        <f>Юсь!C16</f>
        <v>345</v>
      </c>
      <c r="AK27" s="305">
        <f>Юсь!D16</f>
        <v>368.55234000000002</v>
      </c>
      <c r="AL27" s="298">
        <f t="shared" si="6"/>
        <v>106.82676521739131</v>
      </c>
      <c r="AM27" s="298">
        <f>Юсь!C18</f>
        <v>8</v>
      </c>
      <c r="AN27" s="298">
        <f>Юсь!D18</f>
        <v>8.25</v>
      </c>
      <c r="AO27" s="298">
        <f t="shared" si="27"/>
        <v>103.125</v>
      </c>
      <c r="AP27" s="298"/>
      <c r="AQ27" s="298"/>
      <c r="AR27" s="298" t="e">
        <f>AP27/AQ27*100</f>
        <v>#DIV/0!</v>
      </c>
      <c r="AS27" s="305">
        <v>0</v>
      </c>
      <c r="AT27" s="305">
        <v>0</v>
      </c>
      <c r="AU27" s="298" t="e">
        <f t="shared" si="8"/>
        <v>#DIV/0!</v>
      </c>
      <c r="AV27" s="305">
        <f>Юсь!C27</f>
        <v>0</v>
      </c>
      <c r="AW27" s="306">
        <f>Юсь!D27</f>
        <v>0</v>
      </c>
      <c r="AX27" s="298" t="e">
        <f t="shared" si="28"/>
        <v>#DIV/0!</v>
      </c>
      <c r="AY27" s="300">
        <f>Юсь!C28</f>
        <v>40</v>
      </c>
      <c r="AZ27" s="306">
        <f>Юсь!D28</f>
        <v>66.5</v>
      </c>
      <c r="BA27" s="298">
        <f t="shared" si="29"/>
        <v>166.25</v>
      </c>
      <c r="BB27" s="305"/>
      <c r="BC27" s="305"/>
      <c r="BD27" s="298" t="e">
        <f t="shared" si="30"/>
        <v>#DIV/0!</v>
      </c>
      <c r="BE27" s="298">
        <f>Юсь!C30</f>
        <v>100</v>
      </c>
      <c r="BF27" s="301">
        <f>Юсь!D30</f>
        <v>358.87428999999997</v>
      </c>
      <c r="BG27" s="298">
        <f t="shared" si="31"/>
        <v>358.87428999999997</v>
      </c>
      <c r="BH27" s="298"/>
      <c r="BI27" s="298"/>
      <c r="BJ27" s="298"/>
      <c r="BK27" s="298">
        <f>Юсь!C31</f>
        <v>0</v>
      </c>
      <c r="BL27" s="298">
        <f>Юсь!D31</f>
        <v>0</v>
      </c>
      <c r="BM27" s="298" t="e">
        <f t="shared" si="32"/>
        <v>#DIV/0!</v>
      </c>
      <c r="BN27" s="298"/>
      <c r="BO27" s="298"/>
      <c r="BP27" s="298" t="e">
        <f t="shared" si="33"/>
        <v>#DIV/0!</v>
      </c>
      <c r="BQ27" s="298"/>
      <c r="BR27" s="298"/>
      <c r="BS27" s="298"/>
      <c r="BT27" s="298"/>
      <c r="BU27" s="298">
        <f>Юсь!D34</f>
        <v>5.9382900000000003</v>
      </c>
      <c r="BV27" s="291" t="e">
        <f t="shared" si="34"/>
        <v>#DIV/0!</v>
      </c>
      <c r="BW27" s="298">
        <f>Юсь!C36</f>
        <v>403.60199999999998</v>
      </c>
      <c r="BX27" s="298">
        <f>Юсь!D36</f>
        <v>381.81984</v>
      </c>
      <c r="BY27" s="298">
        <f t="shared" si="35"/>
        <v>94.603059449655859</v>
      </c>
      <c r="BZ27" s="298"/>
      <c r="CA27" s="298"/>
      <c r="CB27" s="307" t="e">
        <f t="shared" si="36"/>
        <v>#DIV/0!</v>
      </c>
      <c r="CC27" s="307"/>
      <c r="CD27" s="307"/>
      <c r="CE27" s="307" t="e">
        <f t="shared" si="37"/>
        <v>#DIV/0!</v>
      </c>
      <c r="CF27" s="296">
        <f t="shared" si="38"/>
        <v>11802.837669999999</v>
      </c>
      <c r="CG27" s="296">
        <f t="shared" si="39"/>
        <v>11703.23337</v>
      </c>
      <c r="CH27" s="298">
        <f t="shared" si="58"/>
        <v>99.15609870452451</v>
      </c>
      <c r="CI27" s="298">
        <f>Юсь!C41</f>
        <v>4903.5</v>
      </c>
      <c r="CJ27" s="298">
        <f>Юсь!D41</f>
        <v>4903.5</v>
      </c>
      <c r="CK27" s="298">
        <f t="shared" si="40"/>
        <v>100</v>
      </c>
      <c r="CL27" s="298">
        <f>Юсь!C42</f>
        <v>0</v>
      </c>
      <c r="CM27" s="389">
        <f>Юсь!D42</f>
        <v>0</v>
      </c>
      <c r="CN27" s="298" t="e">
        <f t="shared" si="41"/>
        <v>#DIV/0!</v>
      </c>
      <c r="CO27" s="298">
        <f>Юсь!C43</f>
        <v>5918.9191000000001</v>
      </c>
      <c r="CP27" s="298">
        <f>Юсь!D43</f>
        <v>5918.9191000000001</v>
      </c>
      <c r="CQ27" s="298">
        <f t="shared" si="9"/>
        <v>100</v>
      </c>
      <c r="CR27" s="298">
        <f>Юсь!C44</f>
        <v>301.49356999999998</v>
      </c>
      <c r="CS27" s="298">
        <f>Юсь!D44</f>
        <v>301.49356999999998</v>
      </c>
      <c r="CT27" s="298">
        <f t="shared" si="10"/>
        <v>100</v>
      </c>
      <c r="CU27" s="298">
        <f>Юсь!C51</f>
        <v>678.92499999999995</v>
      </c>
      <c r="CV27" s="298">
        <f>Юсь!D51</f>
        <v>579.32069999999999</v>
      </c>
      <c r="CW27" s="291">
        <f t="shared" si="42"/>
        <v>85.329115881724789</v>
      </c>
      <c r="CX27" s="309">
        <f>Юсь!C52</f>
        <v>0</v>
      </c>
      <c r="CY27" s="298">
        <f>Юсь!D52</f>
        <v>0</v>
      </c>
      <c r="CZ27" s="298" t="e">
        <f t="shared" si="11"/>
        <v>#DIV/0!</v>
      </c>
      <c r="DA27" s="298"/>
      <c r="DB27" s="298"/>
      <c r="DC27" s="298"/>
      <c r="DD27" s="305"/>
      <c r="DE27" s="305"/>
      <c r="DF27" s="298" t="e">
        <f t="shared" si="43"/>
        <v>#DIV/0!</v>
      </c>
      <c r="DG27" s="298"/>
      <c r="DH27" s="298"/>
      <c r="DI27" s="298"/>
      <c r="DJ27" s="298"/>
      <c r="DK27" s="298"/>
      <c r="DL27" s="298"/>
      <c r="DM27" s="300">
        <f t="shared" si="44"/>
        <v>14622.710510000001</v>
      </c>
      <c r="DN27" s="300">
        <f t="shared" si="44"/>
        <v>14260.155130000001</v>
      </c>
      <c r="DO27" s="298">
        <f t="shared" si="45"/>
        <v>97.520600713854932</v>
      </c>
      <c r="DP27" s="305">
        <f t="shared" si="46"/>
        <v>1694.3889999999999</v>
      </c>
      <c r="DQ27" s="305">
        <f t="shared" si="46"/>
        <v>1551.4588799999999</v>
      </c>
      <c r="DR27" s="298">
        <f t="shared" si="47"/>
        <v>91.564503782779511</v>
      </c>
      <c r="DS27" s="298">
        <f>Юсь!C60</f>
        <v>1682.5119999999999</v>
      </c>
      <c r="DT27" s="298">
        <f>Юсь!D60</f>
        <v>1546.2948799999999</v>
      </c>
      <c r="DU27" s="298">
        <f t="shared" si="48"/>
        <v>91.903943627147981</v>
      </c>
      <c r="DV27" s="298">
        <f>Юсь!C63</f>
        <v>0</v>
      </c>
      <c r="DW27" s="298">
        <f>Юсь!D63</f>
        <v>0</v>
      </c>
      <c r="DX27" s="298" t="e">
        <f t="shared" si="49"/>
        <v>#DIV/0!</v>
      </c>
      <c r="DY27" s="298">
        <f>Юсь!C64</f>
        <v>5</v>
      </c>
      <c r="DZ27" s="298">
        <f>Юсь!D64</f>
        <v>0</v>
      </c>
      <c r="EA27" s="298">
        <f t="shared" si="50"/>
        <v>0</v>
      </c>
      <c r="EB27" s="298">
        <f>Юсь!C65</f>
        <v>6.8769999999999998</v>
      </c>
      <c r="EC27" s="298">
        <f>Юсь!D65</f>
        <v>5.1639999999999997</v>
      </c>
      <c r="ED27" s="298">
        <f t="shared" si="51"/>
        <v>75.090882652319323</v>
      </c>
      <c r="EE27" s="298">
        <f>Юсь!C67</f>
        <v>287.20096999999998</v>
      </c>
      <c r="EF27" s="298">
        <f>Юсь!D67</f>
        <v>287.20096999999998</v>
      </c>
      <c r="EG27" s="298">
        <f t="shared" si="52"/>
        <v>100</v>
      </c>
      <c r="EH27" s="298">
        <f>Юсь!C68</f>
        <v>329.38</v>
      </c>
      <c r="EI27" s="298">
        <f>Юсь!D68</f>
        <v>329.18939</v>
      </c>
      <c r="EJ27" s="298">
        <f t="shared" si="53"/>
        <v>99.94213066974315</v>
      </c>
      <c r="EK27" s="305">
        <f>Юсь!C74</f>
        <v>3091.5144400000004</v>
      </c>
      <c r="EL27" s="305">
        <f>Юсь!D74</f>
        <v>3030.0402100000001</v>
      </c>
      <c r="EM27" s="298">
        <f t="shared" si="54"/>
        <v>98.011517293770098</v>
      </c>
      <c r="EN27" s="305">
        <f>Юсь!C79</f>
        <v>7367.5261</v>
      </c>
      <c r="EO27" s="305">
        <f>Юсь!D79</f>
        <v>7209.9037900000003</v>
      </c>
      <c r="EP27" s="298">
        <f t="shared" si="55"/>
        <v>97.86058022923055</v>
      </c>
      <c r="EQ27" s="305">
        <f>Юсь!C83</f>
        <v>1842.7</v>
      </c>
      <c r="ER27" s="310">
        <f>Юсь!D83</f>
        <v>1842.3718899999999</v>
      </c>
      <c r="ES27" s="298">
        <f t="shared" si="12"/>
        <v>99.982194063059637</v>
      </c>
      <c r="ET27" s="298">
        <f>Юсь!C85</f>
        <v>0</v>
      </c>
      <c r="EU27" s="298">
        <f>Юсь!D85</f>
        <v>0</v>
      </c>
      <c r="EV27" s="298" t="e">
        <f t="shared" si="13"/>
        <v>#DIV/0!</v>
      </c>
      <c r="EW27" s="311">
        <f>Юсь!C90</f>
        <v>10</v>
      </c>
      <c r="EX27" s="311">
        <f>Юсь!D90</f>
        <v>9.99</v>
      </c>
      <c r="EY27" s="298">
        <f t="shared" si="56"/>
        <v>99.9</v>
      </c>
      <c r="EZ27" s="298">
        <f>Юсь!C96</f>
        <v>0</v>
      </c>
      <c r="FA27" s="298">
        <f>Юсь!D96</f>
        <v>0</v>
      </c>
      <c r="FB27" s="291" t="e">
        <f t="shared" si="57"/>
        <v>#DIV/0!</v>
      </c>
      <c r="FC27" s="418">
        <f t="shared" si="14"/>
        <v>-1002.1408400000018</v>
      </c>
      <c r="FD27" s="418">
        <f t="shared" si="15"/>
        <v>-291.41323999999986</v>
      </c>
      <c r="FE27" s="291">
        <f t="shared" si="59"/>
        <v>29.079070363004</v>
      </c>
      <c r="FF27" s="159"/>
      <c r="FG27" s="160"/>
      <c r="FI27" s="160"/>
    </row>
    <row r="28" spans="1:176" s="157" customFormat="1" ht="23.25" customHeight="1" x14ac:dyDescent="0.25">
      <c r="A28" s="331">
        <v>15</v>
      </c>
      <c r="B28" s="333" t="s">
        <v>296</v>
      </c>
      <c r="C28" s="312">
        <f t="shared" si="16"/>
        <v>15161.389599999999</v>
      </c>
      <c r="D28" s="290">
        <f>G28+CG28+DE28</f>
        <v>15714.107359999998</v>
      </c>
      <c r="E28" s="298">
        <f>D28/C28*100</f>
        <v>103.64556135408591</v>
      </c>
      <c r="F28" s="292">
        <f t="shared" si="17"/>
        <v>3264.3563599999998</v>
      </c>
      <c r="G28" s="292">
        <f>M28+AE28+AH28+AK28+AN28+AT28+AZ28+BL28+AQ28+BX28+BU28+BF28+S28+Y28+V28+AB28+AW28</f>
        <v>3859.8849699999992</v>
      </c>
      <c r="H28" s="298">
        <f>G28/F28*100</f>
        <v>118.24337003451424</v>
      </c>
      <c r="I28" s="291">
        <f t="shared" si="19"/>
        <v>2738.4</v>
      </c>
      <c r="J28" s="298"/>
      <c r="K28" s="298"/>
      <c r="L28" s="305">
        <f>Яра!C6</f>
        <v>321.39999999999998</v>
      </c>
      <c r="M28" s="383">
        <f>Яра!D6</f>
        <v>265.78492</v>
      </c>
      <c r="N28" s="298">
        <f t="shared" si="20"/>
        <v>82.695992532669578</v>
      </c>
      <c r="O28" s="291">
        <f t="shared" si="4"/>
        <v>954</v>
      </c>
      <c r="P28" s="291">
        <f t="shared" si="5"/>
        <v>1127.8717500000002</v>
      </c>
      <c r="Q28" s="298"/>
      <c r="R28" s="298">
        <f>Яра!C8</f>
        <v>355.84199999999998</v>
      </c>
      <c r="S28" s="298">
        <f>Яра!D8</f>
        <v>565.41002000000003</v>
      </c>
      <c r="T28" s="291">
        <f t="shared" si="21"/>
        <v>158.8935595011269</v>
      </c>
      <c r="U28" s="291">
        <f>Яра!C9</f>
        <v>3.8159999999999998</v>
      </c>
      <c r="V28" s="291">
        <f>Яра!D9</f>
        <v>3.0541200000000002</v>
      </c>
      <c r="W28" s="291">
        <f t="shared" si="22"/>
        <v>80.034591194968556</v>
      </c>
      <c r="X28" s="291">
        <f>Яра!C10</f>
        <v>594.34199999999998</v>
      </c>
      <c r="Y28" s="291">
        <f>Яра!D10</f>
        <v>624.27652999999998</v>
      </c>
      <c r="Z28" s="291">
        <f t="shared" si="23"/>
        <v>105.0365833139842</v>
      </c>
      <c r="AA28" s="291">
        <f>Яра!C11</f>
        <v>0</v>
      </c>
      <c r="AB28" s="295">
        <f>Яра!D11</f>
        <v>-64.868920000000003</v>
      </c>
      <c r="AC28" s="291" t="e">
        <f t="shared" si="24"/>
        <v>#DIV/0!</v>
      </c>
      <c r="AD28" s="305">
        <f>Яра!C13</f>
        <v>20</v>
      </c>
      <c r="AE28" s="305">
        <f>Яра!D13</f>
        <v>10.15326</v>
      </c>
      <c r="AF28" s="298">
        <f t="shared" si="25"/>
        <v>50.766300000000001</v>
      </c>
      <c r="AG28" s="305">
        <f>Яра!C15</f>
        <v>385</v>
      </c>
      <c r="AH28" s="297">
        <f>Яра!D15</f>
        <v>315.43126999999998</v>
      </c>
      <c r="AI28" s="298">
        <f t="shared" si="26"/>
        <v>81.930199999999999</v>
      </c>
      <c r="AJ28" s="305">
        <f>Яра!C16</f>
        <v>1050</v>
      </c>
      <c r="AK28" s="305">
        <f>Яра!D16</f>
        <v>1064.14419</v>
      </c>
      <c r="AL28" s="298">
        <f t="shared" si="6"/>
        <v>101.3470657142857</v>
      </c>
      <c r="AM28" s="298">
        <f>Яра!C18</f>
        <v>8</v>
      </c>
      <c r="AN28" s="298">
        <f>Яра!D18</f>
        <v>2.98</v>
      </c>
      <c r="AO28" s="298">
        <f t="shared" si="27"/>
        <v>37.25</v>
      </c>
      <c r="AP28" s="298"/>
      <c r="AQ28" s="298"/>
      <c r="AR28" s="298" t="e">
        <f>AP28/AQ28*100</f>
        <v>#DIV/0!</v>
      </c>
      <c r="AS28" s="305">
        <v>0</v>
      </c>
      <c r="AT28" s="305">
        <v>0</v>
      </c>
      <c r="AU28" s="298" t="e">
        <f t="shared" si="8"/>
        <v>#DIV/0!</v>
      </c>
      <c r="AV28" s="305">
        <f>Яра!C27</f>
        <v>20</v>
      </c>
      <c r="AW28" s="306">
        <f>Яра!D27</f>
        <v>160.83423999999999</v>
      </c>
      <c r="AX28" s="298">
        <f t="shared" si="28"/>
        <v>804.1712</v>
      </c>
      <c r="AY28" s="300">
        <f>Яра!C28</f>
        <v>0</v>
      </c>
      <c r="AZ28" s="306">
        <f>Яра!D28</f>
        <v>0</v>
      </c>
      <c r="BA28" s="298" t="e">
        <f t="shared" si="29"/>
        <v>#DIV/0!</v>
      </c>
      <c r="BB28" s="305"/>
      <c r="BC28" s="305"/>
      <c r="BD28" s="298" t="e">
        <f t="shared" si="30"/>
        <v>#DIV/0!</v>
      </c>
      <c r="BE28" s="298">
        <f>Яра!C31</f>
        <v>50</v>
      </c>
      <c r="BF28" s="301">
        <f>Яра!D31</f>
        <v>80.687740000000005</v>
      </c>
      <c r="BG28" s="298">
        <f t="shared" si="31"/>
        <v>161.37548000000001</v>
      </c>
      <c r="BH28" s="298"/>
      <c r="BI28" s="298"/>
      <c r="BJ28" s="298"/>
      <c r="BK28" s="298">
        <f>Яра!C32</f>
        <v>137.274</v>
      </c>
      <c r="BL28" s="298">
        <f>SUM(Яра!D32)</f>
        <v>12.273999999999999</v>
      </c>
      <c r="BM28" s="298">
        <f t="shared" si="32"/>
        <v>8.9412416043824763</v>
      </c>
      <c r="BN28" s="298"/>
      <c r="BO28" s="298"/>
      <c r="BP28" s="298" t="e">
        <f t="shared" si="33"/>
        <v>#DIV/0!</v>
      </c>
      <c r="BQ28" s="298"/>
      <c r="BR28" s="298"/>
      <c r="BS28" s="298"/>
      <c r="BT28" s="298">
        <f>Яра!C35</f>
        <v>31.6</v>
      </c>
      <c r="BU28" s="298">
        <f>Яра!D35</f>
        <v>31.630479999999999</v>
      </c>
      <c r="BV28" s="291">
        <f t="shared" si="34"/>
        <v>100.09645569620251</v>
      </c>
      <c r="BW28" s="298">
        <f>Яра!C37</f>
        <v>287.08235999999999</v>
      </c>
      <c r="BX28" s="298">
        <f>Яра!D37</f>
        <v>788.09312</v>
      </c>
      <c r="BY28" s="298">
        <f t="shared" si="35"/>
        <v>274.51812782924037</v>
      </c>
      <c r="BZ28" s="298"/>
      <c r="CA28" s="298"/>
      <c r="CB28" s="307" t="e">
        <f t="shared" si="36"/>
        <v>#DIV/0!</v>
      </c>
      <c r="CC28" s="307"/>
      <c r="CD28" s="307"/>
      <c r="CE28" s="307" t="e">
        <f t="shared" si="37"/>
        <v>#DIV/0!</v>
      </c>
      <c r="CF28" s="296">
        <f t="shared" si="38"/>
        <v>11897.033239999999</v>
      </c>
      <c r="CG28" s="296">
        <f t="shared" si="39"/>
        <v>11854.222389999999</v>
      </c>
      <c r="CH28" s="298">
        <f t="shared" si="58"/>
        <v>99.640155245964507</v>
      </c>
      <c r="CI28" s="298">
        <f>Яра!C42</f>
        <v>3431.9</v>
      </c>
      <c r="CJ28" s="298">
        <f>Яра!D42</f>
        <v>3431.9</v>
      </c>
      <c r="CK28" s="298">
        <f t="shared" si="40"/>
        <v>100</v>
      </c>
      <c r="CL28" s="298">
        <f>Яра!C43</f>
        <v>0</v>
      </c>
      <c r="CM28" s="389">
        <f>Яра!D43</f>
        <v>0</v>
      </c>
      <c r="CN28" s="298" t="e">
        <f t="shared" si="41"/>
        <v>#DIV/0!</v>
      </c>
      <c r="CO28" s="298">
        <f>Яра!C44</f>
        <v>4194.3995699999996</v>
      </c>
      <c r="CP28" s="298">
        <f>Яра!D44</f>
        <v>4194.3995699999996</v>
      </c>
      <c r="CQ28" s="298">
        <f t="shared" si="9"/>
        <v>100</v>
      </c>
      <c r="CR28" s="298">
        <f>Яра!C45</f>
        <v>269.82522</v>
      </c>
      <c r="CS28" s="298">
        <f>Яра!D45</f>
        <v>269.82522</v>
      </c>
      <c r="CT28" s="298">
        <f t="shared" si="10"/>
        <v>100</v>
      </c>
      <c r="CU28" s="298">
        <f>Яра!C47</f>
        <v>4000.9084499999999</v>
      </c>
      <c r="CV28" s="298">
        <f>Яра!D47</f>
        <v>3958.0976000000001</v>
      </c>
      <c r="CW28" s="291">
        <f t="shared" si="42"/>
        <v>98.929971766787119</v>
      </c>
      <c r="CX28" s="309">
        <f>SUM(Яра!C51)</f>
        <v>0</v>
      </c>
      <c r="CY28" s="298">
        <f>Яра!D51</f>
        <v>0</v>
      </c>
      <c r="CZ28" s="298" t="e">
        <f t="shared" si="11"/>
        <v>#DIV/0!</v>
      </c>
      <c r="DA28" s="298"/>
      <c r="DB28" s="298"/>
      <c r="DC28" s="298"/>
      <c r="DD28" s="305"/>
      <c r="DE28" s="305"/>
      <c r="DF28" s="298" t="e">
        <f t="shared" si="43"/>
        <v>#DIV/0!</v>
      </c>
      <c r="DG28" s="298"/>
      <c r="DH28" s="298">
        <f>Яра!D46</f>
        <v>0</v>
      </c>
      <c r="DI28" s="298" t="e">
        <f>DH28/DG28</f>
        <v>#DIV/0!</v>
      </c>
      <c r="DJ28" s="298"/>
      <c r="DK28" s="298"/>
      <c r="DL28" s="298"/>
      <c r="DM28" s="300">
        <f t="shared" si="44"/>
        <v>16104.076509999999</v>
      </c>
      <c r="DN28" s="300">
        <f t="shared" si="44"/>
        <v>15778.0193</v>
      </c>
      <c r="DO28" s="298">
        <f t="shared" si="45"/>
        <v>97.975312587483486</v>
      </c>
      <c r="DP28" s="305">
        <f t="shared" si="46"/>
        <v>2315.0158499999998</v>
      </c>
      <c r="DQ28" s="305">
        <f t="shared" si="46"/>
        <v>2301.27882</v>
      </c>
      <c r="DR28" s="298">
        <f t="shared" si="47"/>
        <v>99.406611838100375</v>
      </c>
      <c r="DS28" s="298">
        <f>Яра!C59</f>
        <v>1894.40372</v>
      </c>
      <c r="DT28" s="298">
        <f>Яра!D59</f>
        <v>1886.66669</v>
      </c>
      <c r="DU28" s="298">
        <f t="shared" si="48"/>
        <v>99.591584944733953</v>
      </c>
      <c r="DV28" s="298">
        <f>Яра!C62</f>
        <v>0</v>
      </c>
      <c r="DW28" s="298">
        <f>Яра!D62</f>
        <v>0</v>
      </c>
      <c r="DX28" s="298" t="e">
        <f t="shared" si="49"/>
        <v>#DIV/0!</v>
      </c>
      <c r="DY28" s="298">
        <f>Яра!C63</f>
        <v>1</v>
      </c>
      <c r="DZ28" s="298">
        <f>Яра!D63</f>
        <v>0</v>
      </c>
      <c r="EA28" s="298">
        <f t="shared" si="50"/>
        <v>0</v>
      </c>
      <c r="EB28" s="298">
        <f>Яра!C64</f>
        <v>419.61212999999998</v>
      </c>
      <c r="EC28" s="298">
        <f>Яра!D64</f>
        <v>414.61212999999998</v>
      </c>
      <c r="ED28" s="298">
        <f t="shared" si="51"/>
        <v>98.80842338852311</v>
      </c>
      <c r="EE28" s="298">
        <f>Яра!C66</f>
        <v>269.82522</v>
      </c>
      <c r="EF28" s="298">
        <f>Яра!D65</f>
        <v>269.82522</v>
      </c>
      <c r="EG28" s="298">
        <f t="shared" si="52"/>
        <v>100</v>
      </c>
      <c r="EH28" s="298">
        <f>Яра!C67</f>
        <v>20.097239999999999</v>
      </c>
      <c r="EI28" s="298">
        <f>Яра!D67</f>
        <v>18.097239999999999</v>
      </c>
      <c r="EJ28" s="298">
        <f t="shared" si="53"/>
        <v>90.048384753329316</v>
      </c>
      <c r="EK28" s="305">
        <f>Яра!C73</f>
        <v>5626.7911999999997</v>
      </c>
      <c r="EL28" s="305">
        <f>Яра!D73</f>
        <v>5597.89606</v>
      </c>
      <c r="EM28" s="298">
        <f t="shared" si="54"/>
        <v>99.486472147749154</v>
      </c>
      <c r="EN28" s="305">
        <f>Яра!C78</f>
        <v>5876.0360000000001</v>
      </c>
      <c r="EO28" s="305">
        <f>Яра!D78</f>
        <v>5594.6333800000002</v>
      </c>
      <c r="EP28" s="298">
        <f t="shared" si="55"/>
        <v>95.211012662277767</v>
      </c>
      <c r="EQ28" s="305">
        <f>Яра!C82</f>
        <v>1974.3109999999999</v>
      </c>
      <c r="ER28" s="310">
        <f>Яра!D82</f>
        <v>1974.2885799999999</v>
      </c>
      <c r="ES28" s="298">
        <f t="shared" si="12"/>
        <v>99.998864413965165</v>
      </c>
      <c r="ET28" s="298">
        <f>Яра!C84</f>
        <v>0</v>
      </c>
      <c r="EU28" s="298">
        <f>Яра!D84</f>
        <v>0</v>
      </c>
      <c r="EV28" s="298" t="e">
        <f t="shared" si="13"/>
        <v>#DIV/0!</v>
      </c>
      <c r="EW28" s="311">
        <f>Яра!C89</f>
        <v>22</v>
      </c>
      <c r="EX28" s="311">
        <f>Яра!D89</f>
        <v>22</v>
      </c>
      <c r="EY28" s="298">
        <f t="shared" si="56"/>
        <v>100</v>
      </c>
      <c r="EZ28" s="298">
        <f>Яра!C95</f>
        <v>0</v>
      </c>
      <c r="FA28" s="298">
        <f>Яра!D95</f>
        <v>0</v>
      </c>
      <c r="FB28" s="291" t="e">
        <f t="shared" si="57"/>
        <v>#DIV/0!</v>
      </c>
      <c r="FC28" s="418">
        <f t="shared" si="14"/>
        <v>-942.68691000000035</v>
      </c>
      <c r="FD28" s="418">
        <f t="shared" si="15"/>
        <v>-63.911940000001778</v>
      </c>
      <c r="FE28" s="291">
        <f t="shared" si="59"/>
        <v>6.7797631771509117</v>
      </c>
      <c r="FF28" s="159"/>
      <c r="FG28" s="160"/>
      <c r="FI28" s="160"/>
    </row>
    <row r="29" spans="1:176" s="157" customFormat="1" ht="25.5" customHeight="1" x14ac:dyDescent="0.25">
      <c r="A29" s="331">
        <v>16</v>
      </c>
      <c r="B29" s="332" t="s">
        <v>297</v>
      </c>
      <c r="C29" s="289">
        <f t="shared" si="16"/>
        <v>14647.336230000001</v>
      </c>
      <c r="D29" s="290">
        <f t="shared" si="0"/>
        <v>14590.397869999999</v>
      </c>
      <c r="E29" s="291">
        <f t="shared" si="1"/>
        <v>99.611271571117598</v>
      </c>
      <c r="F29" s="292">
        <f t="shared" si="17"/>
        <v>2671.8262399999999</v>
      </c>
      <c r="G29" s="292">
        <f t="shared" si="3"/>
        <v>3345.7953099999995</v>
      </c>
      <c r="H29" s="291">
        <f t="shared" si="18"/>
        <v>125.22503372075573</v>
      </c>
      <c r="I29" s="291">
        <f t="shared" si="19"/>
        <v>1525.98</v>
      </c>
      <c r="J29" s="291"/>
      <c r="K29" s="291"/>
      <c r="L29" s="296">
        <f>Ярос!C6</f>
        <v>120</v>
      </c>
      <c r="M29" s="383">
        <f>Ярос!D6</f>
        <v>91.677109999999999</v>
      </c>
      <c r="N29" s="291">
        <f t="shared" si="20"/>
        <v>76.397591666666671</v>
      </c>
      <c r="O29" s="291">
        <f t="shared" si="4"/>
        <v>547.98</v>
      </c>
      <c r="P29" s="291">
        <f t="shared" si="5"/>
        <v>647.85488999999995</v>
      </c>
      <c r="Q29" s="291"/>
      <c r="R29" s="291">
        <f>Ярос!C8</f>
        <v>204.39599999999999</v>
      </c>
      <c r="S29" s="291">
        <f>Ярос!D8</f>
        <v>324.77418999999998</v>
      </c>
      <c r="T29" s="291">
        <f t="shared" si="21"/>
        <v>158.8945918706824</v>
      </c>
      <c r="U29" s="291">
        <f>Ярос!C9</f>
        <v>2.1920000000000002</v>
      </c>
      <c r="V29" s="291">
        <f>Ярос!D9</f>
        <v>1.75431</v>
      </c>
      <c r="W29" s="291">
        <f t="shared" si="22"/>
        <v>80.0323905109489</v>
      </c>
      <c r="X29" s="291">
        <f>Ярос!C10</f>
        <v>341.392</v>
      </c>
      <c r="Y29" s="291">
        <f>Ярос!D10</f>
        <v>358.58740999999998</v>
      </c>
      <c r="Z29" s="291">
        <f t="shared" si="23"/>
        <v>105.03685206448891</v>
      </c>
      <c r="AA29" s="291">
        <f>Ярос!C11</f>
        <v>0</v>
      </c>
      <c r="AB29" s="295">
        <f>Ярос!D11</f>
        <v>-37.261020000000002</v>
      </c>
      <c r="AC29" s="291" t="e">
        <f t="shared" si="24"/>
        <v>#DIV/0!</v>
      </c>
      <c r="AD29" s="296">
        <f>Ярос!C13</f>
        <v>10</v>
      </c>
      <c r="AE29" s="296">
        <f>Ярос!D13</f>
        <v>0.26638000000000001</v>
      </c>
      <c r="AF29" s="291">
        <f t="shared" si="25"/>
        <v>2.6638000000000002</v>
      </c>
      <c r="AG29" s="296">
        <f>Ярос!C15</f>
        <v>323</v>
      </c>
      <c r="AH29" s="297">
        <f>Ярос!D15</f>
        <v>296.83465000000001</v>
      </c>
      <c r="AI29" s="291">
        <f t="shared" si="26"/>
        <v>91.899272445820429</v>
      </c>
      <c r="AJ29" s="296">
        <f>Ярос!C16</f>
        <v>520</v>
      </c>
      <c r="AK29" s="296">
        <f>Ярос!D16</f>
        <v>553.06150000000002</v>
      </c>
      <c r="AL29" s="291">
        <f t="shared" si="6"/>
        <v>106.35798076923078</v>
      </c>
      <c r="AM29" s="291">
        <f>Ярос!C18</f>
        <v>5</v>
      </c>
      <c r="AN29" s="291">
        <f>Ярос!D18</f>
        <v>1.0900000000000001</v>
      </c>
      <c r="AO29" s="291">
        <f t="shared" si="27"/>
        <v>21.800000000000004</v>
      </c>
      <c r="AP29" s="291"/>
      <c r="AQ29" s="291"/>
      <c r="AR29" s="291" t="e">
        <f>AP29/AQ29*100</f>
        <v>#DIV/0!</v>
      </c>
      <c r="AS29" s="296">
        <v>0</v>
      </c>
      <c r="AT29" s="296">
        <v>0</v>
      </c>
      <c r="AU29" s="291" t="e">
        <f t="shared" si="8"/>
        <v>#DIV/0!</v>
      </c>
      <c r="AV29" s="296">
        <f>Ярос!C26</f>
        <v>320</v>
      </c>
      <c r="AW29" s="299">
        <f>Ярос!D27</f>
        <v>487.66397999999998</v>
      </c>
      <c r="AX29" s="291">
        <f t="shared" si="28"/>
        <v>152.39499375</v>
      </c>
      <c r="AY29" s="300">
        <v>0</v>
      </c>
      <c r="AZ29" s="299">
        <f>Ярос!D28</f>
        <v>0</v>
      </c>
      <c r="BA29" s="291" t="e">
        <f t="shared" si="29"/>
        <v>#DIV/0!</v>
      </c>
      <c r="BB29" s="296"/>
      <c r="BC29" s="296"/>
      <c r="BD29" s="291" t="e">
        <f t="shared" si="30"/>
        <v>#DIV/0!</v>
      </c>
      <c r="BE29" s="291"/>
      <c r="BF29" s="301">
        <f>Ярос!D29</f>
        <v>0</v>
      </c>
      <c r="BG29" s="291" t="e">
        <f t="shared" si="31"/>
        <v>#DIV/0!</v>
      </c>
      <c r="BH29" s="291"/>
      <c r="BI29" s="291"/>
      <c r="BJ29" s="291"/>
      <c r="BK29" s="291">
        <f>Ярос!C31</f>
        <v>0</v>
      </c>
      <c r="BL29" s="291">
        <f>Ярос!D31</f>
        <v>0</v>
      </c>
      <c r="BM29" s="291" t="e">
        <f t="shared" si="32"/>
        <v>#DIV/0!</v>
      </c>
      <c r="BN29" s="291"/>
      <c r="BO29" s="291"/>
      <c r="BP29" s="291" t="e">
        <f t="shared" si="33"/>
        <v>#DIV/0!</v>
      </c>
      <c r="BQ29" s="291"/>
      <c r="BR29" s="291"/>
      <c r="BS29" s="291"/>
      <c r="BT29" s="291">
        <f>Ярос!C34</f>
        <v>0</v>
      </c>
      <c r="BU29" s="291">
        <f>Ярос!D34</f>
        <v>41.4968</v>
      </c>
      <c r="BV29" s="291" t="e">
        <f t="shared" si="34"/>
        <v>#DIV/0!</v>
      </c>
      <c r="BW29" s="291">
        <f>SUM(Ярос!C36)</f>
        <v>825.84623999999997</v>
      </c>
      <c r="BX29" s="291">
        <f>SUM(Ярос!D36)</f>
        <v>1225.8499999999999</v>
      </c>
      <c r="BY29" s="291">
        <f t="shared" si="35"/>
        <v>148.43562162370563</v>
      </c>
      <c r="BZ29" s="291"/>
      <c r="CA29" s="291"/>
      <c r="CB29" s="303" t="e">
        <f t="shared" si="36"/>
        <v>#DIV/0!</v>
      </c>
      <c r="CC29" s="303"/>
      <c r="CD29" s="303"/>
      <c r="CE29" s="303" t="e">
        <f t="shared" si="37"/>
        <v>#DIV/0!</v>
      </c>
      <c r="CF29" s="296">
        <f t="shared" si="38"/>
        <v>11975.50999</v>
      </c>
      <c r="CG29" s="296">
        <f t="shared" si="39"/>
        <v>11244.602559999999</v>
      </c>
      <c r="CH29" s="291">
        <f t="shared" si="58"/>
        <v>93.896648822385558</v>
      </c>
      <c r="CI29" s="298">
        <f>Ярос!C40</f>
        <v>2129.1</v>
      </c>
      <c r="CJ29" s="298">
        <f>Ярос!D40</f>
        <v>2129.1</v>
      </c>
      <c r="CK29" s="291">
        <f t="shared" si="40"/>
        <v>100</v>
      </c>
      <c r="CL29" s="291">
        <f>Ярос!C41</f>
        <v>0</v>
      </c>
      <c r="CM29" s="388">
        <f>Ярос!D41</f>
        <v>0</v>
      </c>
      <c r="CN29" s="291" t="e">
        <f t="shared" si="41"/>
        <v>#DIV/0!</v>
      </c>
      <c r="CO29" s="291">
        <f>Ярос!C42</f>
        <v>6333.7063699999999</v>
      </c>
      <c r="CP29" s="291">
        <f>Ярос!D42</f>
        <v>5921.0460800000001</v>
      </c>
      <c r="CQ29" s="291">
        <f t="shared" si="9"/>
        <v>93.484694965421966</v>
      </c>
      <c r="CR29" s="291">
        <f>Ярос!C43</f>
        <v>44.321980000000003</v>
      </c>
      <c r="CS29" s="291">
        <f>Ярос!D43</f>
        <v>44.321980000000003</v>
      </c>
      <c r="CT29" s="291">
        <f t="shared" si="10"/>
        <v>100</v>
      </c>
      <c r="CU29" s="291">
        <f>Ярос!C45</f>
        <v>3468.3816400000001</v>
      </c>
      <c r="CV29" s="291">
        <f>Ярос!D45</f>
        <v>3150.1345000000001</v>
      </c>
      <c r="CW29" s="291">
        <f t="shared" si="42"/>
        <v>90.824333276080893</v>
      </c>
      <c r="CX29" s="295">
        <f>Ярос!C46</f>
        <v>0</v>
      </c>
      <c r="CY29" s="291">
        <f>Ярос!D46</f>
        <v>0</v>
      </c>
      <c r="CZ29" s="291" t="e">
        <f t="shared" si="11"/>
        <v>#DIV/0!</v>
      </c>
      <c r="DA29" s="291"/>
      <c r="DB29" s="291"/>
      <c r="DC29" s="291"/>
      <c r="DD29" s="296"/>
      <c r="DE29" s="296"/>
      <c r="DF29" s="291" t="e">
        <f t="shared" si="43"/>
        <v>#DIV/0!</v>
      </c>
      <c r="DG29" s="291"/>
      <c r="DH29" s="291"/>
      <c r="DI29" s="291"/>
      <c r="DJ29" s="291"/>
      <c r="DK29" s="291"/>
      <c r="DL29" s="291"/>
      <c r="DM29" s="300">
        <f t="shared" si="44"/>
        <v>15025.927579999998</v>
      </c>
      <c r="DN29" s="300">
        <f t="shared" si="44"/>
        <v>13933.535329999999</v>
      </c>
      <c r="DO29" s="291">
        <f t="shared" si="45"/>
        <v>92.72995131792058</v>
      </c>
      <c r="DP29" s="296">
        <f t="shared" si="46"/>
        <v>1586.1167099999998</v>
      </c>
      <c r="DQ29" s="296">
        <f t="shared" si="46"/>
        <v>1449.2165100000002</v>
      </c>
      <c r="DR29" s="291">
        <f t="shared" si="47"/>
        <v>91.368844478033424</v>
      </c>
      <c r="DS29" s="291">
        <f>Ярос!C56</f>
        <v>1492.4967099999999</v>
      </c>
      <c r="DT29" s="291">
        <f>Ярос!D56</f>
        <v>1365.5965100000001</v>
      </c>
      <c r="DU29" s="291">
        <f t="shared" si="48"/>
        <v>91.497455294223073</v>
      </c>
      <c r="DV29" s="291">
        <f>Ярос!C59</f>
        <v>0</v>
      </c>
      <c r="DW29" s="291">
        <f>Ярос!D59</f>
        <v>0</v>
      </c>
      <c r="DX29" s="291" t="e">
        <f t="shared" si="49"/>
        <v>#DIV/0!</v>
      </c>
      <c r="DY29" s="291">
        <f>Ярос!C60</f>
        <v>5</v>
      </c>
      <c r="DZ29" s="291">
        <f>Ярос!D60</f>
        <v>0</v>
      </c>
      <c r="EA29" s="291">
        <f t="shared" si="50"/>
        <v>0</v>
      </c>
      <c r="EB29" s="291">
        <f>Ярос!C61</f>
        <v>88.62</v>
      </c>
      <c r="EC29" s="291">
        <f>Ярос!D61</f>
        <v>83.62</v>
      </c>
      <c r="ED29" s="291">
        <f t="shared" si="51"/>
        <v>94.357932746558333</v>
      </c>
      <c r="EE29" s="291">
        <f>Ярос!C62</f>
        <v>44.321980000000003</v>
      </c>
      <c r="EF29" s="291">
        <f>Ярос!D62</f>
        <v>44.321980000000003</v>
      </c>
      <c r="EG29" s="291">
        <f t="shared" si="52"/>
        <v>100</v>
      </c>
      <c r="EH29" s="291">
        <f>Ярос!C64</f>
        <v>37.598399999999998</v>
      </c>
      <c r="EI29" s="291">
        <f>Ярос!D64</f>
        <v>37.59834</v>
      </c>
      <c r="EJ29" s="291">
        <f t="shared" si="53"/>
        <v>99.999840418741229</v>
      </c>
      <c r="EK29" s="296">
        <f>Ярос!C70</f>
        <v>1178.02135</v>
      </c>
      <c r="EL29" s="296">
        <f>Ярос!D70</f>
        <v>958.36656000000005</v>
      </c>
      <c r="EM29" s="291">
        <f t="shared" si="54"/>
        <v>81.353921132244338</v>
      </c>
      <c r="EN29" s="296">
        <f>Ярос!C75</f>
        <v>10952.36614</v>
      </c>
      <c r="EO29" s="296">
        <f>Ярос!D75</f>
        <v>10240.9421</v>
      </c>
      <c r="EP29" s="291">
        <f t="shared" si="55"/>
        <v>93.50438041509814</v>
      </c>
      <c r="EQ29" s="296">
        <f>Ярос!C80</f>
        <v>1224.953</v>
      </c>
      <c r="ER29" s="304">
        <f>Ярос!D79</f>
        <v>1200.5398399999999</v>
      </c>
      <c r="ES29" s="291">
        <f t="shared" si="12"/>
        <v>98.007012513949505</v>
      </c>
      <c r="ET29" s="291">
        <f>Ярос!C81</f>
        <v>0</v>
      </c>
      <c r="EU29" s="291">
        <f>Ярос!D81</f>
        <v>0</v>
      </c>
      <c r="EV29" s="291" t="e">
        <f t="shared" si="13"/>
        <v>#DIV/0!</v>
      </c>
      <c r="EW29" s="292">
        <f>Ярос!C86</f>
        <v>2.5499999999999998</v>
      </c>
      <c r="EX29" s="292">
        <f>Ярос!D86</f>
        <v>2.5499999999999998</v>
      </c>
      <c r="EY29" s="291">
        <f t="shared" si="56"/>
        <v>100</v>
      </c>
      <c r="EZ29" s="291">
        <f>Ярос!C92</f>
        <v>0</v>
      </c>
      <c r="FA29" s="291">
        <f>Ярос!D92</f>
        <v>0</v>
      </c>
      <c r="FB29" s="291" t="e">
        <f t="shared" si="57"/>
        <v>#DIV/0!</v>
      </c>
      <c r="FC29" s="418">
        <f t="shared" si="14"/>
        <v>-378.59134999999696</v>
      </c>
      <c r="FD29" s="418">
        <f t="shared" si="15"/>
        <v>656.86254000000008</v>
      </c>
      <c r="FE29" s="291">
        <f t="shared" si="59"/>
        <v>-173.50172950333001</v>
      </c>
      <c r="FF29" s="159"/>
      <c r="FG29" s="160"/>
      <c r="FI29" s="160"/>
    </row>
    <row r="30" spans="1:176" s="157" customFormat="1" ht="17.25" customHeight="1" x14ac:dyDescent="0.25">
      <c r="A30" s="338"/>
      <c r="B30" s="339"/>
      <c r="C30" s="320"/>
      <c r="D30" s="321"/>
      <c r="E30" s="291"/>
      <c r="F30" s="292"/>
      <c r="G30" s="296"/>
      <c r="H30" s="291"/>
      <c r="I30" s="291"/>
      <c r="J30" s="291"/>
      <c r="K30" s="291"/>
      <c r="L30" s="296"/>
      <c r="M30" s="384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323"/>
      <c r="AC30" s="291"/>
      <c r="AD30" s="296"/>
      <c r="AE30" s="296"/>
      <c r="AF30" s="291"/>
      <c r="AG30" s="296"/>
      <c r="AH30" s="296"/>
      <c r="AI30" s="291"/>
      <c r="AJ30" s="296"/>
      <c r="AK30" s="296"/>
      <c r="AL30" s="291"/>
      <c r="AM30" s="291"/>
      <c r="AN30" s="291"/>
      <c r="AO30" s="291"/>
      <c r="AP30" s="291"/>
      <c r="AQ30" s="291"/>
      <c r="AR30" s="291"/>
      <c r="AS30" s="296"/>
      <c r="AT30" s="296"/>
      <c r="AU30" s="291"/>
      <c r="AV30" s="296"/>
      <c r="AW30" s="296"/>
      <c r="AX30" s="291"/>
      <c r="AY30" s="296"/>
      <c r="AZ30" s="299"/>
      <c r="BA30" s="291"/>
      <c r="BB30" s="296"/>
      <c r="BC30" s="296"/>
      <c r="BD30" s="291"/>
      <c r="BE30" s="291"/>
      <c r="BF30" s="30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303"/>
      <c r="CC30" s="303"/>
      <c r="CD30" s="303"/>
      <c r="CE30" s="303"/>
      <c r="CF30" s="296"/>
      <c r="CG30" s="296"/>
      <c r="CH30" s="291"/>
      <c r="CI30" s="291"/>
      <c r="CJ30" s="291"/>
      <c r="CK30" s="291"/>
      <c r="CL30" s="291"/>
      <c r="CM30" s="388"/>
      <c r="CN30" s="388"/>
      <c r="CO30" s="291"/>
      <c r="CP30" s="291"/>
      <c r="CQ30" s="291"/>
      <c r="CR30" s="291"/>
      <c r="CS30" s="291"/>
      <c r="CT30" s="291"/>
      <c r="CU30" s="291"/>
      <c r="CV30" s="291"/>
      <c r="CW30" s="291"/>
      <c r="CX30" s="323"/>
      <c r="CY30" s="291"/>
      <c r="CZ30" s="291"/>
      <c r="DA30" s="291"/>
      <c r="DB30" s="291"/>
      <c r="DC30" s="291"/>
      <c r="DD30" s="296"/>
      <c r="DE30" s="296"/>
      <c r="DF30" s="291"/>
      <c r="DG30" s="291"/>
      <c r="DH30" s="291"/>
      <c r="DI30" s="291"/>
      <c r="DJ30" s="291"/>
      <c r="DK30" s="291"/>
      <c r="DL30" s="291"/>
      <c r="DM30" s="296"/>
      <c r="DN30" s="296"/>
      <c r="DO30" s="291"/>
      <c r="DP30" s="296"/>
      <c r="DQ30" s="322"/>
      <c r="DR30" s="291"/>
      <c r="DS30" s="291"/>
      <c r="DT30" s="291"/>
      <c r="DU30" s="291"/>
      <c r="DV30" s="291"/>
      <c r="DW30" s="291"/>
      <c r="DX30" s="291"/>
      <c r="DY30" s="291"/>
      <c r="DZ30" s="291"/>
      <c r="EA30" s="291"/>
      <c r="EB30" s="291"/>
      <c r="EC30" s="291"/>
      <c r="ED30" s="291"/>
      <c r="EE30" s="291"/>
      <c r="EF30" s="302"/>
      <c r="EG30" s="291"/>
      <c r="EH30" s="291"/>
      <c r="EI30" s="291"/>
      <c r="EJ30" s="291"/>
      <c r="EK30" s="296"/>
      <c r="EL30" s="296"/>
      <c r="EM30" s="291"/>
      <c r="EN30" s="296"/>
      <c r="EO30" s="296"/>
      <c r="EP30" s="291"/>
      <c r="EQ30" s="296"/>
      <c r="ER30" s="296"/>
      <c r="ES30" s="291"/>
      <c r="ET30" s="291"/>
      <c r="EU30" s="291"/>
      <c r="EV30" s="291"/>
      <c r="EW30" s="292"/>
      <c r="EX30" s="292"/>
      <c r="EY30" s="291"/>
      <c r="EZ30" s="291"/>
      <c r="FA30" s="291"/>
      <c r="FB30" s="291"/>
      <c r="FC30" s="418"/>
      <c r="FD30" s="418"/>
      <c r="FE30" s="291"/>
      <c r="FG30" s="160"/>
      <c r="FI30" s="160"/>
    </row>
    <row r="31" spans="1:176" s="163" customFormat="1" ht="18" x14ac:dyDescent="0.2">
      <c r="A31" s="585" t="s">
        <v>172</v>
      </c>
      <c r="B31" s="586"/>
      <c r="C31" s="324">
        <f>SUM(C14:C29)</f>
        <v>283159.92469000007</v>
      </c>
      <c r="D31" s="324">
        <f>SUM(D14:D29)</f>
        <v>255369.48248999999</v>
      </c>
      <c r="E31" s="325">
        <f>D31/C31*100</f>
        <v>90.185601924274877</v>
      </c>
      <c r="F31" s="326">
        <f>SUM(F14:F29)</f>
        <v>54196.909850000004</v>
      </c>
      <c r="G31" s="327">
        <f>SUM(G14:G29)</f>
        <v>64192.533090000004</v>
      </c>
      <c r="H31" s="325">
        <f>G31/F31*100</f>
        <v>118.44316081426921</v>
      </c>
      <c r="I31" s="325"/>
      <c r="J31" s="325"/>
      <c r="K31" s="325"/>
      <c r="L31" s="327">
        <f>SUM(L14:L29)</f>
        <v>6695.4</v>
      </c>
      <c r="M31" s="385">
        <f>SUM(M14:M29)</f>
        <v>7710.6098499999998</v>
      </c>
      <c r="N31" s="325">
        <f>M31/L31*100</f>
        <v>115.16279609881413</v>
      </c>
      <c r="O31" s="325"/>
      <c r="P31" s="325"/>
      <c r="Q31" s="325"/>
      <c r="R31" s="325">
        <f>SUM(R14:R29)</f>
        <v>4337.4410099999996</v>
      </c>
      <c r="S31" s="325">
        <f>SUM(S14:S29)</f>
        <v>6125.2751800000005</v>
      </c>
      <c r="T31" s="325">
        <f>S31/R31*100</f>
        <v>141.21863942075839</v>
      </c>
      <c r="U31" s="325">
        <f>SUM(U14:U29)</f>
        <v>41.338000000000001</v>
      </c>
      <c r="V31" s="325">
        <f>SUM(V14:V29)</f>
        <v>33.08605</v>
      </c>
      <c r="W31" s="325">
        <f>V31/U31*100</f>
        <v>80.037858628864484</v>
      </c>
      <c r="X31" s="325">
        <f>SUM(X14:X29)</f>
        <v>6438.7049999999999</v>
      </c>
      <c r="Y31" s="325">
        <f>SUM(Y14:Y29)</f>
        <v>6762.9955899999995</v>
      </c>
      <c r="Z31" s="325">
        <f>Y31/X31*100</f>
        <v>105.03658095843807</v>
      </c>
      <c r="AA31" s="325">
        <f>SUM(AA14:AA29)</f>
        <v>0</v>
      </c>
      <c r="AB31" s="325">
        <f>SUM(AB14:AB29)</f>
        <v>-702.74677999999994</v>
      </c>
      <c r="AC31" s="325" t="e">
        <f>AB31/AA31*100</f>
        <v>#DIV/0!</v>
      </c>
      <c r="AD31" s="327">
        <f>SUM(AD14:AD29)</f>
        <v>530</v>
      </c>
      <c r="AE31" s="327">
        <f>SUM(AE14:AE29)</f>
        <v>548.69536000000005</v>
      </c>
      <c r="AF31" s="325">
        <f>AE31/AD31*100</f>
        <v>103.52742641509435</v>
      </c>
      <c r="AG31" s="327">
        <f>SUM(AG14:AG29)</f>
        <v>6780</v>
      </c>
      <c r="AH31" s="327">
        <f>SUM(AH14:AH29)</f>
        <v>6621.3053499999987</v>
      </c>
      <c r="AI31" s="325">
        <f>AH31/AG31*100</f>
        <v>97.65937094395278</v>
      </c>
      <c r="AJ31" s="327">
        <f>SUM(AJ14:AJ29)</f>
        <v>15252.78858</v>
      </c>
      <c r="AK31" s="327">
        <f>SUM(AK14:AK29)</f>
        <v>15139.576270000001</v>
      </c>
      <c r="AL31" s="325">
        <f>AK31/AJ31*100</f>
        <v>99.257759921038655</v>
      </c>
      <c r="AM31" s="328">
        <f>SUM(AM14:AM29)</f>
        <v>97</v>
      </c>
      <c r="AN31" s="325">
        <f>SUM(AN14:AN29)</f>
        <v>66.78</v>
      </c>
      <c r="AO31" s="291">
        <f t="shared" si="27"/>
        <v>68.845360824742272</v>
      </c>
      <c r="AP31" s="327">
        <f>AP14+AP15+AP16+AP17+AP18+AP19+AP20+AP21+AP22+AP23+AP24+AP25+AP26+AP27+AP28+AP29</f>
        <v>0</v>
      </c>
      <c r="AQ31" s="327">
        <f>AQ14+AQ15+AQ16+AQ17+AQ18+AQ19+AQ20+AQ21+AQ22+AQ23+AQ24+AQ25+AQ26+AQ27+AQ28+AQ29</f>
        <v>3.65E-3</v>
      </c>
      <c r="AR31" s="291" t="e">
        <f>AQ31/AP31*100</f>
        <v>#DIV/0!</v>
      </c>
      <c r="AS31" s="327">
        <f>SUM(AS14:AS29)</f>
        <v>0</v>
      </c>
      <c r="AT31" s="327">
        <f>SUM(AT14:AT29)</f>
        <v>0</v>
      </c>
      <c r="AU31" s="325" t="e">
        <f>AT31/AS31*100</f>
        <v>#DIV/0!</v>
      </c>
      <c r="AV31" s="327">
        <f>SUM(AV14:AV29)</f>
        <v>2352.0106400000004</v>
      </c>
      <c r="AW31" s="327">
        <f>SUM(AW14:AW29)</f>
        <v>3175.8159999999998</v>
      </c>
      <c r="AX31" s="325">
        <f>AW31/AV31*100</f>
        <v>135.02557964618728</v>
      </c>
      <c r="AY31" s="327">
        <f>SUM(AY14:AY29)</f>
        <v>238</v>
      </c>
      <c r="AZ31" s="396">
        <f>SUM(AZ14:AZ29)</f>
        <v>364.81914</v>
      </c>
      <c r="BA31" s="325">
        <f>AZ31/AY31*100</f>
        <v>153.28535294117646</v>
      </c>
      <c r="BB31" s="327">
        <f>SUM(BB14:BB29)</f>
        <v>0</v>
      </c>
      <c r="BC31" s="327">
        <f>SUM(BC14:BC29)</f>
        <v>0</v>
      </c>
      <c r="BD31" s="325" t="e">
        <f>BC31/BB31*100</f>
        <v>#DIV/0!</v>
      </c>
      <c r="BE31" s="325">
        <f>SUM(BE14:BE29)</f>
        <v>590</v>
      </c>
      <c r="BF31" s="325">
        <f>SUM(BF14:BF29)</f>
        <v>1238.6290300000001</v>
      </c>
      <c r="BG31" s="291">
        <f t="shared" si="31"/>
        <v>209.93712372881359</v>
      </c>
      <c r="BH31" s="291">
        <f>SUM(BH14:BH29)</f>
        <v>0</v>
      </c>
      <c r="BI31" s="291">
        <f>SUM(BI14:BI29)</f>
        <v>0.35255999999999998</v>
      </c>
      <c r="BJ31" s="291" t="e">
        <f>BI31/BH31*100</f>
        <v>#DIV/0!</v>
      </c>
      <c r="BK31" s="326">
        <f>SUM(BK14:BK29)</f>
        <v>2843.7265000000002</v>
      </c>
      <c r="BL31" s="327">
        <f>SUM(BL14:BL29)</f>
        <v>4120.4327000000003</v>
      </c>
      <c r="BM31" s="327">
        <f t="shared" si="32"/>
        <v>144.89553408177616</v>
      </c>
      <c r="BN31" s="327">
        <f>SUM(BN14:BN29)</f>
        <v>0</v>
      </c>
      <c r="BO31" s="327">
        <f>SUM(BO14:BO29)</f>
        <v>0</v>
      </c>
      <c r="BP31" s="325" t="e">
        <f>BO31/BN31*100</f>
        <v>#DIV/0!</v>
      </c>
      <c r="BQ31" s="325">
        <f>SUM(BQ14:BQ29)</f>
        <v>0</v>
      </c>
      <c r="BR31" s="325">
        <f>BR15+BR27+BR28+BR19+BR22+BR26+BR18</f>
        <v>144.43316999999999</v>
      </c>
      <c r="BS31" s="325" t="e">
        <f>BR31/BQ31*100</f>
        <v>#DIV/0!</v>
      </c>
      <c r="BT31" s="325">
        <f>BT14+BT15+BT16+BT17+BT18+BT19+BT20+BT21+BT22+BT23+BT24+BT25+BT26+BT27+BT28+BT29</f>
        <v>125.13601</v>
      </c>
      <c r="BU31" s="325">
        <f>BU14+BU15+BU16+BU17+BU18+BU19+BU20+BU21+BU22+BU23+BU24+BU25+BU26+BU27+BU28+BU29</f>
        <v>624.01130999999998</v>
      </c>
      <c r="BV31" s="325">
        <f>BU31/BT31*100</f>
        <v>498.66645899929205</v>
      </c>
      <c r="BW31" s="327">
        <f>SUM(BW14:BW29)</f>
        <v>7875.3641100000013</v>
      </c>
      <c r="BX31" s="327">
        <f>SUM(BX14:BX29)</f>
        <v>12363.24439</v>
      </c>
      <c r="BY31" s="325">
        <f>BX31/BW31*100</f>
        <v>156.98632110611069</v>
      </c>
      <c r="BZ31" s="325">
        <f t="shared" ref="BZ31:CE31" si="60">SUM(BZ14:BZ29)</f>
        <v>0</v>
      </c>
      <c r="CA31" s="325"/>
      <c r="CB31" s="325" t="e">
        <f t="shared" si="60"/>
        <v>#DIV/0!</v>
      </c>
      <c r="CC31" s="325">
        <f t="shared" si="60"/>
        <v>0</v>
      </c>
      <c r="CD31" s="325">
        <f t="shared" si="60"/>
        <v>0</v>
      </c>
      <c r="CE31" s="329" t="e">
        <f t="shared" si="60"/>
        <v>#DIV/0!</v>
      </c>
      <c r="CF31" s="326">
        <f>SUM(CF14:CF29)</f>
        <v>228963.01483999999</v>
      </c>
      <c r="CG31" s="327">
        <f>SUM(CG14:CG29)</f>
        <v>191176.94940000001</v>
      </c>
      <c r="CH31" s="327">
        <f t="shared" si="58"/>
        <v>83.496869367131197</v>
      </c>
      <c r="CI31" s="327">
        <f>SUM(CI14:CI29)</f>
        <v>53257.100000000006</v>
      </c>
      <c r="CJ31" s="327">
        <f>SUM(CJ14:CJ29)</f>
        <v>53257.100000000006</v>
      </c>
      <c r="CK31" s="327">
        <f>CJ31/CI31*100</f>
        <v>100</v>
      </c>
      <c r="CL31" s="326">
        <f>SUM(CL14:CL29)</f>
        <v>0</v>
      </c>
      <c r="CM31" s="391">
        <f>SUM(CM14:CM29)</f>
        <v>0</v>
      </c>
      <c r="CN31" s="391" t="e">
        <f>CM31/CL31*100</f>
        <v>#DIV/0!</v>
      </c>
      <c r="CO31" s="327">
        <f>SUM(CO14:CO29)</f>
        <v>142600.58229000002</v>
      </c>
      <c r="CP31" s="327">
        <f>SUM(CP14:CP29)</f>
        <v>108006.6292</v>
      </c>
      <c r="CQ31" s="327">
        <f>CP31/CO31*100</f>
        <v>75.7406649156257</v>
      </c>
      <c r="CR31" s="327">
        <f>SUM(CR14:CR29)</f>
        <v>2696.2000000000003</v>
      </c>
      <c r="CS31" s="327">
        <f>SUM(CS14:CS29)</f>
        <v>2696.1723000000002</v>
      </c>
      <c r="CT31" s="327">
        <f t="shared" si="10"/>
        <v>99.998972628143306</v>
      </c>
      <c r="CU31" s="327">
        <f>SUM(CU14:CU29)</f>
        <v>30409.132549999995</v>
      </c>
      <c r="CV31" s="327">
        <f>SUM(CV14:CV29)</f>
        <v>27217.047900000001</v>
      </c>
      <c r="CW31" s="327">
        <f>CV31/CU31*100</f>
        <v>89.502875017064582</v>
      </c>
      <c r="CX31" s="327">
        <f>SUM(CX14:CX29)</f>
        <v>0</v>
      </c>
      <c r="CY31" s="327">
        <f>SUM(CY14:CY29)</f>
        <v>0</v>
      </c>
      <c r="CZ31" s="327" t="e">
        <f t="shared" si="11"/>
        <v>#DIV/0!</v>
      </c>
      <c r="DA31" s="327">
        <f>SUM(DA14:DA29)</f>
        <v>0</v>
      </c>
      <c r="DB31" s="327">
        <f>SUM(DB14:DB29)</f>
        <v>0</v>
      </c>
      <c r="DC31" s="327" t="e">
        <f>DB31/DA31*100</f>
        <v>#DIV/0!</v>
      </c>
      <c r="DD31" s="327">
        <f>SUM(DD14:DD29)</f>
        <v>0</v>
      </c>
      <c r="DE31" s="327">
        <f>SUM(DE14:DE29)</f>
        <v>0</v>
      </c>
      <c r="DF31" s="325" t="e">
        <f>DE31/DD31*100</f>
        <v>#DIV/0!</v>
      </c>
      <c r="DG31" s="325">
        <f>DG14+DG15+DG16+DG17+DG18+DG19+DG20+DG21+DG22+DG23+DG24+DG25+DG26+DG27+DG28+DG29</f>
        <v>0</v>
      </c>
      <c r="DH31" s="325">
        <f>DH14+DH15+DH16+DH17+DH18+DH19+DH20+DH21+DH22+DH23+DH24+DH25+DH26+DH27+DH28+DH29</f>
        <v>0</v>
      </c>
      <c r="DI31" s="325" t="e">
        <f>DH31/DG31*100</f>
        <v>#DIV/0!</v>
      </c>
      <c r="DJ31" s="325">
        <f>DJ14+DJ15+DJ16+DJ17+DJ18+DJ19+DJ20+DJ21+DJ22+DJ23+DJ24+DJ25+DJ26+DJ27+DJ28+DJ29</f>
        <v>0</v>
      </c>
      <c r="DK31" s="325">
        <f>DK14+DK15+DK16+DK17+DK18+DK19+DK20+DK21+DK22+DK23+DK24+DK25+DK26+DK27+DK28+DK29</f>
        <v>0</v>
      </c>
      <c r="DL31" s="325">
        <v>0</v>
      </c>
      <c r="DM31" s="326">
        <f>SUM(DM14:DM29)</f>
        <v>296888.00379000005</v>
      </c>
      <c r="DN31" s="326">
        <f>SUM(DN14:DN29)</f>
        <v>252077.02749999997</v>
      </c>
      <c r="DO31" s="325">
        <f>DN31/DM31*100</f>
        <v>84.906437539424275</v>
      </c>
      <c r="DP31" s="326">
        <f>SUM(DP14:DP29)</f>
        <v>30310.566969999996</v>
      </c>
      <c r="DQ31" s="326">
        <f>SUM(DQ14:DQ29)</f>
        <v>28907.540499999996</v>
      </c>
      <c r="DR31" s="325">
        <f>DQ31/DP31*100</f>
        <v>95.371163886875976</v>
      </c>
      <c r="DS31" s="327">
        <f>SUM(DS14:DS29)</f>
        <v>29144.526329999997</v>
      </c>
      <c r="DT31" s="326">
        <f>SUM(DT14:DT29)</f>
        <v>27956.996360000001</v>
      </c>
      <c r="DU31" s="325">
        <f>DT31/DS31*100</f>
        <v>95.925375638108733</v>
      </c>
      <c r="DV31" s="327">
        <f>SUM(DV14:DV29)</f>
        <v>0</v>
      </c>
      <c r="DW31" s="327">
        <f>SUM(DW14:DW29)</f>
        <v>0</v>
      </c>
      <c r="DX31" s="325" t="e">
        <f>DW31/DV31*100</f>
        <v>#DIV/0!</v>
      </c>
      <c r="DY31" s="330">
        <f>SUM(DY14:DY29)</f>
        <v>73</v>
      </c>
      <c r="DZ31" s="325">
        <f>SUM(DZ14:DZ29)</f>
        <v>0</v>
      </c>
      <c r="EA31" s="325">
        <f>DZ31/DY31*100</f>
        <v>0</v>
      </c>
      <c r="EB31" s="325">
        <f>SUM(EB14:EB29)</f>
        <v>1093.0406399999999</v>
      </c>
      <c r="EC31" s="325">
        <f>SUM(EC14:EC29)</f>
        <v>950.54413999999997</v>
      </c>
      <c r="ED31" s="291">
        <f>EC31/EB31*100</f>
        <v>86.963293514868766</v>
      </c>
      <c r="EE31" s="325">
        <f>SUM(EE14:EE29)</f>
        <v>2546.1000000000004</v>
      </c>
      <c r="EF31" s="330">
        <f>SUM(EF14:EF29)</f>
        <v>2546.1000000000004</v>
      </c>
      <c r="EG31" s="327">
        <f t="shared" si="52"/>
        <v>100</v>
      </c>
      <c r="EH31" s="330">
        <f>SUM(EH14:EH29)</f>
        <v>767.46799999999996</v>
      </c>
      <c r="EI31" s="330">
        <f>SUM(EI14:EI29)</f>
        <v>747.69633999999996</v>
      </c>
      <c r="EJ31" s="291">
        <f t="shared" si="53"/>
        <v>97.423780535475089</v>
      </c>
      <c r="EK31" s="327">
        <f>SUM(EK14:EK29)</f>
        <v>64842.075519999991</v>
      </c>
      <c r="EL31" s="326">
        <f>SUM(EL14:EL29)</f>
        <v>62683.624669999997</v>
      </c>
      <c r="EM31" s="325">
        <f>EL31/EK31*100</f>
        <v>96.671218753116193</v>
      </c>
      <c r="EN31" s="327">
        <f>SUM(EN14:EN29)</f>
        <v>159005.45726999998</v>
      </c>
      <c r="EO31" s="326">
        <f>SUM(EO14:EO29)</f>
        <v>118896.2485</v>
      </c>
      <c r="EP31" s="325">
        <f>EO31/EN31*100</f>
        <v>74.774948320237627</v>
      </c>
      <c r="EQ31" s="326">
        <f>SUM(EQ14:EQ29)</f>
        <v>39192.355030000006</v>
      </c>
      <c r="ER31" s="326">
        <f>SUM(ER14:ER29)</f>
        <v>38076.346490000011</v>
      </c>
      <c r="ES31" s="325">
        <f>ER31/EQ31*100</f>
        <v>97.15248410271407</v>
      </c>
      <c r="ET31" s="326">
        <f>SUM(ET14:ET29)</f>
        <v>13</v>
      </c>
      <c r="EU31" s="326">
        <f>SUM(EU14:EU29)</f>
        <v>13</v>
      </c>
      <c r="EV31" s="325">
        <f>EU31/ET31*100</f>
        <v>100</v>
      </c>
      <c r="EW31" s="327">
        <f>SUM(EW14:EW29)</f>
        <v>210.98100000000005</v>
      </c>
      <c r="EX31" s="327">
        <f>SUM(EX14:EX29)</f>
        <v>206.47100000000006</v>
      </c>
      <c r="EY31" s="325">
        <f>EX31/EW31*100</f>
        <v>97.862366753404345</v>
      </c>
      <c r="EZ31" s="325">
        <f>SUM(EZ14:EZ29)</f>
        <v>0</v>
      </c>
      <c r="FA31" s="328">
        <f>SUM(FA14:FA29)</f>
        <v>0</v>
      </c>
      <c r="FB31" s="291" t="e">
        <f>FA31/EZ31*100</f>
        <v>#DIV/0!</v>
      </c>
      <c r="FC31" s="330">
        <f>SUM(FC14:FC29)</f>
        <v>-13728.079099999995</v>
      </c>
      <c r="FD31" s="325">
        <f>SUM(FD14:FD29)</f>
        <v>3292.4549899999911</v>
      </c>
      <c r="FE31" s="291">
        <f>FD31/FC31*100</f>
        <v>-23.983362610432454</v>
      </c>
    </row>
    <row r="32" spans="1:176" s="165" customFormat="1" ht="27.75" customHeight="1" x14ac:dyDescent="0.2">
      <c r="C32" s="164">
        <v>283159.92469000001</v>
      </c>
      <c r="D32" s="164">
        <v>255369.48248999999</v>
      </c>
      <c r="E32" s="164"/>
      <c r="F32" s="164">
        <v>54196.909849999996</v>
      </c>
      <c r="G32" s="164">
        <v>64192.533089999997</v>
      </c>
      <c r="H32" s="164"/>
      <c r="I32" s="164"/>
      <c r="J32" s="164"/>
      <c r="K32" s="164"/>
      <c r="L32" s="164">
        <v>6695.4</v>
      </c>
      <c r="M32" s="164">
        <v>7710.6098499999998</v>
      </c>
      <c r="N32" s="164"/>
      <c r="O32" s="164"/>
      <c r="P32" s="164"/>
      <c r="Q32" s="164"/>
      <c r="R32" s="164">
        <v>4337.4410099999996</v>
      </c>
      <c r="S32" s="164">
        <v>6125.2751799999996</v>
      </c>
      <c r="T32" s="164"/>
      <c r="U32" s="164">
        <v>41.338000000000001</v>
      </c>
      <c r="V32" s="164">
        <v>33.08605</v>
      </c>
      <c r="W32" s="164"/>
      <c r="X32" s="164">
        <v>6438.7049999999999</v>
      </c>
      <c r="Y32" s="164">
        <v>6762.9955900000004</v>
      </c>
      <c r="Z32" s="164"/>
      <c r="AA32" s="164" t="e">
        <f>#REF!-AA31</f>
        <v>#REF!</v>
      </c>
      <c r="AB32" s="164">
        <v>-702.74677999999994</v>
      </c>
      <c r="AC32" s="164"/>
      <c r="AD32" s="164">
        <v>530</v>
      </c>
      <c r="AE32" s="164">
        <v>548.69536000000005</v>
      </c>
      <c r="AF32" s="164"/>
      <c r="AG32" s="164">
        <v>6780</v>
      </c>
      <c r="AH32" s="164">
        <v>6621.3053499999996</v>
      </c>
      <c r="AI32" s="164"/>
      <c r="AJ32" s="164">
        <v>15252.78858</v>
      </c>
      <c r="AK32" s="164">
        <v>15139.57627</v>
      </c>
      <c r="AL32" s="164"/>
      <c r="AM32" s="164">
        <v>97</v>
      </c>
      <c r="AN32" s="164">
        <v>66.78</v>
      </c>
      <c r="AO32" s="164"/>
      <c r="AP32" s="164" t="e">
        <f>#REF!-AP31</f>
        <v>#REF!</v>
      </c>
      <c r="AQ32" s="164">
        <v>3.65E-3</v>
      </c>
      <c r="AR32" s="164"/>
      <c r="AS32" s="164" t="e">
        <f>#REF!-AS31</f>
        <v>#REF!</v>
      </c>
      <c r="AT32" s="164" t="e">
        <f>#REF!-AT31</f>
        <v>#REF!</v>
      </c>
      <c r="AU32" s="164"/>
      <c r="AV32" s="164">
        <v>2352.01064</v>
      </c>
      <c r="AW32" s="164">
        <v>3175.8159999999998</v>
      </c>
      <c r="AX32" s="164"/>
      <c r="AY32" s="164">
        <v>238</v>
      </c>
      <c r="AZ32" s="164">
        <v>364.81839000000002</v>
      </c>
      <c r="BA32" s="164"/>
      <c r="BB32" s="164" t="e">
        <f>#REF!-BB31</f>
        <v>#REF!</v>
      </c>
      <c r="BC32" s="164" t="e">
        <f>#REF!-BC31</f>
        <v>#REF!</v>
      </c>
      <c r="BD32" s="164" t="e">
        <f>#REF!-BD31</f>
        <v>#REF!</v>
      </c>
      <c r="BE32" s="164">
        <v>590</v>
      </c>
      <c r="BF32" s="164">
        <v>1238.6290300000001</v>
      </c>
      <c r="BG32" s="164"/>
      <c r="BH32" s="164" t="e">
        <f>#REF!-BH31</f>
        <v>#REF!</v>
      </c>
      <c r="BI32" s="164" t="e">
        <f>#REF!-BI31</f>
        <v>#REF!</v>
      </c>
      <c r="BJ32" s="164" t="e">
        <f>#REF!-BJ31</f>
        <v>#REF!</v>
      </c>
      <c r="BK32" s="164">
        <v>2843.7265000000002</v>
      </c>
      <c r="BL32" s="164">
        <v>4120.4327000000003</v>
      </c>
      <c r="BM32" s="164"/>
      <c r="BN32" s="164" t="e">
        <f>#REF!-BN31</f>
        <v>#REF!</v>
      </c>
      <c r="BO32" s="164" t="e">
        <f>#REF!-BO31</f>
        <v>#REF!</v>
      </c>
      <c r="BP32" s="164" t="e">
        <f>#REF!-BP31</f>
        <v>#REF!</v>
      </c>
      <c r="BQ32" s="164" t="e">
        <f>#REF!-BQ31</f>
        <v>#REF!</v>
      </c>
      <c r="BR32" s="164" t="e">
        <f>#REF!-BR31</f>
        <v>#REF!</v>
      </c>
      <c r="BS32" s="164" t="e">
        <f>#REF!-BS31</f>
        <v>#REF!</v>
      </c>
      <c r="BT32" s="164">
        <v>125.13601</v>
      </c>
      <c r="BU32" s="164">
        <v>624.01130999999998</v>
      </c>
      <c r="BV32" s="164"/>
      <c r="BW32" s="164">
        <v>7875.3641100000004</v>
      </c>
      <c r="BX32" s="164">
        <v>12363.24439</v>
      </c>
      <c r="BY32" s="164"/>
      <c r="BZ32" s="164" t="e">
        <f>#REF!-BZ31</f>
        <v>#REF!</v>
      </c>
      <c r="CA32" s="164" t="e">
        <f>#REF!-CA31</f>
        <v>#REF!</v>
      </c>
      <c r="CB32" s="164" t="e">
        <f>#REF!-CB31</f>
        <v>#REF!</v>
      </c>
      <c r="CC32" s="164" t="e">
        <f>#REF!-CC31</f>
        <v>#REF!</v>
      </c>
      <c r="CD32" s="164" t="e">
        <f>#REF!-CD31</f>
        <v>#REF!</v>
      </c>
      <c r="CE32" s="164" t="e">
        <f>#REF!-CE31</f>
        <v>#REF!</v>
      </c>
      <c r="CF32" s="164">
        <v>228963.01483999999</v>
      </c>
      <c r="CG32" s="164">
        <v>191176.94940000001</v>
      </c>
      <c r="CH32" s="164"/>
      <c r="CI32" s="164">
        <v>53257.1</v>
      </c>
      <c r="CJ32" s="164">
        <v>53257.1</v>
      </c>
      <c r="CK32" s="164"/>
      <c r="CL32" s="164">
        <v>0</v>
      </c>
      <c r="CM32" s="164">
        <v>0</v>
      </c>
      <c r="CN32" s="164"/>
      <c r="CO32" s="164">
        <v>142600.58228999999</v>
      </c>
      <c r="CP32" s="164">
        <v>108006.6292</v>
      </c>
      <c r="CQ32" s="164"/>
      <c r="CR32" s="164">
        <v>2696.2</v>
      </c>
      <c r="CS32" s="164">
        <v>2696.1723000000002</v>
      </c>
      <c r="CT32" s="164"/>
      <c r="CU32" s="164">
        <v>30409.132549999998</v>
      </c>
      <c r="CV32" s="164">
        <v>27217.047900000001</v>
      </c>
      <c r="CW32" s="164"/>
      <c r="CX32" s="164">
        <v>0</v>
      </c>
      <c r="CY32" s="164">
        <v>0</v>
      </c>
      <c r="CZ32" s="164"/>
      <c r="DA32" s="164" t="e">
        <f>#REF!-DA31</f>
        <v>#REF!</v>
      </c>
      <c r="DB32" s="164">
        <v>0</v>
      </c>
      <c r="DC32" s="164"/>
      <c r="DD32" s="164" t="e">
        <f>#REF!-DD31</f>
        <v>#REF!</v>
      </c>
      <c r="DE32" s="164" t="e">
        <f>#REF!-DE31</f>
        <v>#REF!</v>
      </c>
      <c r="DF32" s="164" t="e">
        <f>#REF!-DF31</f>
        <v>#REF!</v>
      </c>
      <c r="DG32" s="164" t="e">
        <f>#REF!-DG31</f>
        <v>#REF!</v>
      </c>
      <c r="DH32" s="164" t="e">
        <f>#REF!-DH31</f>
        <v>#REF!</v>
      </c>
      <c r="DI32" s="164" t="e">
        <f>#REF!-DI31</f>
        <v>#REF!</v>
      </c>
      <c r="DJ32" s="164" t="e">
        <f>#REF!-DJ31</f>
        <v>#REF!</v>
      </c>
      <c r="DK32" s="164" t="e">
        <f>#REF!-DK31</f>
        <v>#REF!</v>
      </c>
      <c r="DL32" s="164"/>
      <c r="DM32" s="164">
        <v>296888.00378999999</v>
      </c>
      <c r="DN32" s="164">
        <v>252077.0275</v>
      </c>
      <c r="DO32" s="164"/>
      <c r="DP32" s="164">
        <v>30310.56697</v>
      </c>
      <c r="DQ32" s="164">
        <v>28907.540499999999</v>
      </c>
      <c r="DR32" s="164"/>
      <c r="DS32" s="164">
        <v>29144.526330000001</v>
      </c>
      <c r="DT32" s="164">
        <v>27956.996360000001</v>
      </c>
      <c r="DU32" s="164"/>
      <c r="DV32" s="164"/>
      <c r="DW32" s="164">
        <v>0</v>
      </c>
      <c r="DX32" s="164"/>
      <c r="DY32" s="164">
        <v>73000</v>
      </c>
      <c r="DZ32" s="164">
        <v>0</v>
      </c>
      <c r="EA32" s="164"/>
      <c r="EB32" s="164">
        <v>1093.0406399999999</v>
      </c>
      <c r="EC32" s="164">
        <v>950.54413999999997</v>
      </c>
      <c r="ED32" s="164"/>
      <c r="EE32" s="164">
        <v>2546.1</v>
      </c>
      <c r="EF32" s="164">
        <v>2546.1</v>
      </c>
      <c r="EG32" s="164"/>
      <c r="EH32" s="164">
        <v>767.46799999999996</v>
      </c>
      <c r="EI32" s="164">
        <v>747.69633999999996</v>
      </c>
      <c r="EJ32" s="164"/>
      <c r="EK32" s="164">
        <v>64842.075519999999</v>
      </c>
      <c r="EL32" s="164">
        <v>62683.624669999997</v>
      </c>
      <c r="EM32" s="164"/>
      <c r="EN32" s="164">
        <v>159005.45727000001</v>
      </c>
      <c r="EO32" s="164">
        <v>118896.2485</v>
      </c>
      <c r="EP32" s="164"/>
      <c r="EQ32" s="164">
        <v>39192.355029999999</v>
      </c>
      <c r="ER32" s="164">
        <v>38076.346490000004</v>
      </c>
      <c r="ES32" s="164"/>
      <c r="ET32" s="164">
        <v>13</v>
      </c>
      <c r="EU32" s="164">
        <v>13</v>
      </c>
      <c r="EV32" s="164"/>
      <c r="EW32" s="164">
        <v>210.98099999999999</v>
      </c>
      <c r="EX32" s="164">
        <v>206.471</v>
      </c>
      <c r="EY32" s="164"/>
      <c r="EZ32" s="164" t="e">
        <f>#REF!-EZ31</f>
        <v>#REF!</v>
      </c>
      <c r="FA32" s="164" t="e">
        <f>#REF!-FA31</f>
        <v>#REF!</v>
      </c>
      <c r="FB32" s="164"/>
      <c r="FC32" s="164">
        <v>-13728.079100000001</v>
      </c>
      <c r="FD32" s="164">
        <v>3292.4549900000002</v>
      </c>
    </row>
    <row r="33" spans="3:161" x14ac:dyDescent="0.2">
      <c r="C33" s="164">
        <f>C32-C31</f>
        <v>0</v>
      </c>
      <c r="D33" s="164">
        <f>D32-D31</f>
        <v>0</v>
      </c>
      <c r="E33" s="164"/>
      <c r="F33" s="164">
        <f>F32-F31</f>
        <v>0</v>
      </c>
      <c r="G33" s="164">
        <f>G32-G31</f>
        <v>0</v>
      </c>
      <c r="H33" s="164"/>
      <c r="I33" s="164"/>
      <c r="J33" s="164"/>
      <c r="K33" s="164"/>
      <c r="L33" s="164">
        <f>L32-L31</f>
        <v>0</v>
      </c>
      <c r="M33" s="164">
        <f>M32-M31</f>
        <v>0</v>
      </c>
      <c r="N33" s="164"/>
      <c r="O33" s="164"/>
      <c r="P33" s="164"/>
      <c r="Q33" s="164"/>
      <c r="R33" s="164">
        <f>R32-R31</f>
        <v>0</v>
      </c>
      <c r="S33" s="164">
        <f>S32-S31</f>
        <v>0</v>
      </c>
      <c r="T33" s="164"/>
      <c r="U33" s="164">
        <f>U32-U31</f>
        <v>0</v>
      </c>
      <c r="V33" s="164">
        <f>V32-V31</f>
        <v>0</v>
      </c>
      <c r="W33" s="164"/>
      <c r="X33" s="164">
        <f>X32-X31</f>
        <v>0</v>
      </c>
      <c r="Y33" s="164">
        <f>Y32-Y31</f>
        <v>0</v>
      </c>
      <c r="Z33" s="164"/>
      <c r="AA33" s="164" t="e">
        <f>AA32-AA31</f>
        <v>#REF!</v>
      </c>
      <c r="AB33" s="164">
        <f>AB32-AB31</f>
        <v>0</v>
      </c>
      <c r="AC33" s="164"/>
      <c r="AD33" s="164">
        <f>AD32-AD31</f>
        <v>0</v>
      </c>
      <c r="AE33" s="164">
        <f>AE32-AE31</f>
        <v>0</v>
      </c>
      <c r="AF33" s="164"/>
      <c r="AG33" s="164">
        <f>AG32-AG31</f>
        <v>0</v>
      </c>
      <c r="AH33" s="164">
        <f>AH32-AH31</f>
        <v>0</v>
      </c>
      <c r="AI33" s="164"/>
      <c r="AJ33" s="164">
        <f>AJ32-AJ31</f>
        <v>0</v>
      </c>
      <c r="AK33" s="164">
        <f>AK32-AK31</f>
        <v>0</v>
      </c>
      <c r="AL33" s="164"/>
      <c r="AM33" s="164">
        <f>AM32-AM31</f>
        <v>0</v>
      </c>
      <c r="AN33" s="164">
        <f>AN32-AN31</f>
        <v>0</v>
      </c>
      <c r="AO33" s="164"/>
      <c r="AP33" s="164" t="e">
        <f t="shared" ref="AP33:AW33" si="61">AP32-AP31</f>
        <v>#REF!</v>
      </c>
      <c r="AQ33" s="164">
        <f t="shared" si="61"/>
        <v>0</v>
      </c>
      <c r="AR33" s="164" t="e">
        <f t="shared" si="61"/>
        <v>#DIV/0!</v>
      </c>
      <c r="AS33" s="164" t="e">
        <f t="shared" si="61"/>
        <v>#REF!</v>
      </c>
      <c r="AT33" s="164" t="e">
        <f t="shared" si="61"/>
        <v>#REF!</v>
      </c>
      <c r="AU33" s="164" t="e">
        <f t="shared" si="61"/>
        <v>#DIV/0!</v>
      </c>
      <c r="AV33" s="164">
        <f t="shared" si="61"/>
        <v>0</v>
      </c>
      <c r="AW33" s="164">
        <f t="shared" si="61"/>
        <v>0</v>
      </c>
      <c r="AX33" s="164"/>
      <c r="AY33" s="164">
        <f>AY32-AY31</f>
        <v>0</v>
      </c>
      <c r="AZ33" s="164">
        <f>AZ32-AZ31</f>
        <v>-7.4999999998226485E-4</v>
      </c>
      <c r="BA33" s="164"/>
      <c r="BB33" s="164" t="e">
        <f>BB32-BB31</f>
        <v>#REF!</v>
      </c>
      <c r="BC33" s="164" t="e">
        <f>BC32-BC31</f>
        <v>#REF!</v>
      </c>
      <c r="BD33" s="164" t="e">
        <f>BD32-BD31</f>
        <v>#REF!</v>
      </c>
      <c r="BE33" s="164">
        <f>BE32-BE31</f>
        <v>0</v>
      </c>
      <c r="BF33" s="164">
        <f>BF32-BF31</f>
        <v>0</v>
      </c>
      <c r="BG33" s="164"/>
      <c r="BH33" s="164" t="e">
        <f>BH32-BH31</f>
        <v>#REF!</v>
      </c>
      <c r="BI33" s="164" t="e">
        <f>BI32-BI31</f>
        <v>#REF!</v>
      </c>
      <c r="BJ33" s="164" t="e">
        <f>BJ32-BJ31</f>
        <v>#REF!</v>
      </c>
      <c r="BK33" s="164">
        <f>BK32-BK31</f>
        <v>0</v>
      </c>
      <c r="BL33" s="164">
        <f>BL32-BL31</f>
        <v>0</v>
      </c>
      <c r="BM33" s="164"/>
      <c r="BN33" s="164" t="e">
        <f t="shared" ref="BN33:BU33" si="62">BN32-BN31</f>
        <v>#REF!</v>
      </c>
      <c r="BO33" s="164" t="e">
        <f t="shared" si="62"/>
        <v>#REF!</v>
      </c>
      <c r="BP33" s="164" t="e">
        <f t="shared" si="62"/>
        <v>#REF!</v>
      </c>
      <c r="BQ33" s="164" t="e">
        <f t="shared" si="62"/>
        <v>#REF!</v>
      </c>
      <c r="BR33" s="164" t="e">
        <f t="shared" si="62"/>
        <v>#REF!</v>
      </c>
      <c r="BS33" s="164" t="e">
        <f t="shared" si="62"/>
        <v>#REF!</v>
      </c>
      <c r="BT33" s="164">
        <f t="shared" si="62"/>
        <v>0</v>
      </c>
      <c r="BU33" s="164">
        <f t="shared" si="62"/>
        <v>0</v>
      </c>
      <c r="BV33" s="164"/>
      <c r="BW33" s="164">
        <f>BW32-BW31</f>
        <v>0</v>
      </c>
      <c r="BX33" s="164">
        <f>BX32-BX31</f>
        <v>0</v>
      </c>
      <c r="BY33" s="164"/>
      <c r="BZ33" s="164" t="e">
        <f t="shared" ref="BZ33:CF33" si="63">BZ32-BZ31</f>
        <v>#REF!</v>
      </c>
      <c r="CA33" s="164" t="e">
        <f t="shared" si="63"/>
        <v>#REF!</v>
      </c>
      <c r="CB33" s="164" t="e">
        <f t="shared" si="63"/>
        <v>#REF!</v>
      </c>
      <c r="CC33" s="164" t="e">
        <f t="shared" si="63"/>
        <v>#REF!</v>
      </c>
      <c r="CD33" s="164" t="e">
        <f t="shared" si="63"/>
        <v>#REF!</v>
      </c>
      <c r="CE33" s="164" t="e">
        <f t="shared" si="63"/>
        <v>#REF!</v>
      </c>
      <c r="CF33" s="164">
        <f t="shared" si="63"/>
        <v>0</v>
      </c>
      <c r="CG33" s="164">
        <f>SUM(CG32-CG31)</f>
        <v>0</v>
      </c>
      <c r="CH33" s="164"/>
      <c r="CI33" s="164">
        <f>CI32-CI31</f>
        <v>0</v>
      </c>
      <c r="CJ33" s="164">
        <f>CJ32-CJ31</f>
        <v>0</v>
      </c>
      <c r="CK33" s="164"/>
      <c r="CL33" s="164">
        <f>CL32-CL31</f>
        <v>0</v>
      </c>
      <c r="CM33" s="164">
        <f>CM32-CM31</f>
        <v>0</v>
      </c>
      <c r="CN33" s="164"/>
      <c r="CO33" s="164">
        <f>CO32-CO31</f>
        <v>0</v>
      </c>
      <c r="CP33" s="164">
        <f>CP32-CP31</f>
        <v>0</v>
      </c>
      <c r="CQ33" s="164"/>
      <c r="CR33" s="164">
        <f>CR32-CR31</f>
        <v>0</v>
      </c>
      <c r="CS33" s="164">
        <f>CS32-CS31</f>
        <v>0</v>
      </c>
      <c r="CT33" s="164"/>
      <c r="CU33" s="164">
        <f>CU32-CU31</f>
        <v>0</v>
      </c>
      <c r="CV33" s="164">
        <f>CV32-CV31</f>
        <v>0</v>
      </c>
      <c r="CW33" s="164"/>
      <c r="CX33" s="164">
        <f>CX32-CX31</f>
        <v>0</v>
      </c>
      <c r="CY33" s="164">
        <f>CY32-CY31</f>
        <v>0</v>
      </c>
      <c r="CZ33" s="164"/>
      <c r="DA33" s="164" t="e">
        <f>DA32-DA31</f>
        <v>#REF!</v>
      </c>
      <c r="DB33" s="164">
        <f>DB32-DB31</f>
        <v>0</v>
      </c>
      <c r="DC33" s="164"/>
      <c r="DD33" s="164" t="e">
        <f t="shared" ref="DD33:DN33" si="64">DD32-DD31</f>
        <v>#REF!</v>
      </c>
      <c r="DE33" s="164" t="e">
        <f t="shared" si="64"/>
        <v>#REF!</v>
      </c>
      <c r="DF33" s="164" t="e">
        <f t="shared" si="64"/>
        <v>#REF!</v>
      </c>
      <c r="DG33" s="164" t="e">
        <f t="shared" si="64"/>
        <v>#REF!</v>
      </c>
      <c r="DH33" s="164" t="e">
        <f t="shared" si="64"/>
        <v>#REF!</v>
      </c>
      <c r="DI33" s="164" t="e">
        <f t="shared" si="64"/>
        <v>#REF!</v>
      </c>
      <c r="DJ33" s="164" t="e">
        <f t="shared" si="64"/>
        <v>#REF!</v>
      </c>
      <c r="DK33" s="164" t="e">
        <f t="shared" si="64"/>
        <v>#REF!</v>
      </c>
      <c r="DL33" s="164">
        <f t="shared" si="64"/>
        <v>0</v>
      </c>
      <c r="DM33" s="164">
        <f t="shared" si="64"/>
        <v>0</v>
      </c>
      <c r="DN33" s="164">
        <f t="shared" si="64"/>
        <v>0</v>
      </c>
      <c r="DO33" s="164"/>
      <c r="DP33" s="164">
        <f>DP32-DP31</f>
        <v>0</v>
      </c>
      <c r="DQ33" s="164">
        <f>DQ32-DQ31</f>
        <v>0</v>
      </c>
      <c r="DR33" s="164"/>
      <c r="DS33" s="164">
        <f>DS32-DS31</f>
        <v>0</v>
      </c>
      <c r="DT33" s="164">
        <f>DT32-DT31</f>
        <v>0</v>
      </c>
      <c r="DU33" s="164"/>
      <c r="DV33" s="164">
        <f>DV32-DV31</f>
        <v>0</v>
      </c>
      <c r="DW33" s="164">
        <f>DW32-DW31</f>
        <v>0</v>
      </c>
      <c r="DX33" s="164"/>
      <c r="DY33" s="164">
        <f>DY32-DY31</f>
        <v>72927</v>
      </c>
      <c r="DZ33" s="164">
        <f>DZ32-DZ31</f>
        <v>0</v>
      </c>
      <c r="EA33" s="164"/>
      <c r="EB33" s="164">
        <f>EB32-EB31</f>
        <v>0</v>
      </c>
      <c r="EC33" s="164">
        <f>EC32-EC31</f>
        <v>0</v>
      </c>
      <c r="ED33" s="164"/>
      <c r="EE33" s="164">
        <f>EE32-EE31</f>
        <v>0</v>
      </c>
      <c r="EF33" s="164">
        <f>EF32-EF31</f>
        <v>0</v>
      </c>
      <c r="EG33" s="164"/>
      <c r="EH33" s="164">
        <f>EH32-EH31</f>
        <v>0</v>
      </c>
      <c r="EI33" s="164">
        <f>EI32-EI31</f>
        <v>0</v>
      </c>
      <c r="EJ33" s="164"/>
      <c r="EK33" s="164">
        <f>EK32-EK31</f>
        <v>0</v>
      </c>
      <c r="EL33" s="164">
        <f>EL32-EL31</f>
        <v>0</v>
      </c>
      <c r="EM33" s="164"/>
      <c r="EN33" s="164">
        <f>EN32-EN31</f>
        <v>0</v>
      </c>
      <c r="EO33" s="164">
        <f>EO32-EO31</f>
        <v>0</v>
      </c>
      <c r="EP33" s="164"/>
      <c r="EQ33" s="164">
        <f>EQ32-EQ31</f>
        <v>0</v>
      </c>
      <c r="ER33" s="164">
        <f>ER32-ER31</f>
        <v>0</v>
      </c>
      <c r="ES33" s="164"/>
      <c r="ET33" s="164">
        <f>ET32-ET31</f>
        <v>0</v>
      </c>
      <c r="EU33" s="164">
        <f>EU32-EU31</f>
        <v>0</v>
      </c>
      <c r="EV33" s="164"/>
      <c r="EW33" s="164">
        <f>EW32-EW31</f>
        <v>0</v>
      </c>
      <c r="EX33" s="164">
        <f>EX32-EX31</f>
        <v>0</v>
      </c>
      <c r="EY33" s="164"/>
      <c r="EZ33" s="164" t="e">
        <f>EZ32-EZ31</f>
        <v>#REF!</v>
      </c>
      <c r="FA33" s="164" t="e">
        <f>FA32-FA31</f>
        <v>#REF!</v>
      </c>
      <c r="FB33" s="164"/>
      <c r="FC33" s="164">
        <f>FC32-FC31</f>
        <v>0</v>
      </c>
      <c r="FD33" s="164">
        <f>FD32-FD31</f>
        <v>9.0949470177292824E-12</v>
      </c>
      <c r="FE33" s="166"/>
    </row>
  </sheetData>
  <customSheetViews>
    <customSheetView guid="{4D5E6ACC-9055-4DE9-8C20-9052F3C35D19}" scale="70" showPageBreaks="1" printArea="1" hiddenColumns="1" state="hidden" view="pageBreakPreview" topLeftCell="DT4">
      <selection activeCell="EG18" sqref="EG18"/>
      <colBreaks count="4" manualBreakCount="4">
        <brk id="29" max="30" man="1"/>
        <brk id="62" max="30" man="1"/>
        <brk id="101" max="30" man="1"/>
        <brk id="134" max="30" man="1"/>
      </colBreaks>
      <pageMargins left="0.70866141732283472" right="0.19685039370078741" top="0.27559055118110237" bottom="0.31496062992125984" header="0.31496062992125984" footer="0.31496062992125984"/>
      <pageSetup paperSize="9" scale="37" fitToWidth="5" orientation="landscape" r:id="rId1"/>
    </customSheetView>
    <customSheetView guid="{5C539BE6-C8E0-453F-AB5E-9E58094195EA}" scale="70" showPageBreaks="1" printArea="1" hiddenColumns="1" view="pageBreakPreview" topLeftCell="AT7">
      <selection activeCell="BR24" sqref="BR24"/>
      <pageMargins left="0.70866141732283472" right="0.19685039370078741" top="0.28000000000000003" bottom="0.32" header="0.31496062992125984" footer="0.31496062992125984"/>
      <pageSetup paperSize="9" scale="10" fitToWidth="11" orientation="landscape" r:id="rId2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  <customSheetView guid="{1A52382B-3765-4E8C-903F-6B8919B7242E}" scale="75" showPageBreaks="1" printArea="1" hiddenRows="1" hiddenColumns="1" view="pageBreakPreview" topLeftCell="A10">
      <pane xSplit="2" ySplit="4" topLeftCell="EL14" activePane="bottomRight" state="frozen"/>
      <selection pane="bottomRight" activeCell="EX36" sqref="EX36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5"/>
    </customSheetView>
    <customSheetView guid="{B31C8DB7-3E78-4144-A6B5-8DE36DE63F0E}" scale="75" showPageBreaks="1" printArea="1" hiddenColumns="1" view="pageBreakPreview" topLeftCell="A10">
      <pane xSplit="2" ySplit="4" topLeftCell="C14" activePane="bottomRight" state="frozen"/>
      <selection pane="bottomRight" activeCell="EW33" sqref="EW33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6"/>
    </customSheetView>
    <customSheetView guid="{5BFCA170-DEAE-4D2C-98A0-1E68B427AC01}" scale="75" showPageBreaks="1" printArea="1" hiddenColumns="1" view="pageBreakPreview" topLeftCell="A10">
      <pane xSplit="2" ySplit="4" topLeftCell="EB14" activePane="bottomRight" state="frozen"/>
      <selection pane="bottomRight" activeCell="CB18" sqref="CB18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7"/>
    </customSheetView>
    <customSheetView guid="{B30CE22D-C12F-4E12-8BB9-3AAE0A6991CC}" scale="75" showPageBreaks="1" fitToPage="1" printArea="1" hiddenColumns="1" view="pageBreakPreview" topLeftCell="BL4">
      <selection activeCell="CJ14" sqref="CJ14:CJ29"/>
      <colBreaks count="6" manualBreakCount="6">
        <brk id="23" max="30" man="1"/>
        <brk id="41" max="30" man="1"/>
        <brk id="65" max="29" man="1"/>
        <brk id="98" max="30" man="1"/>
        <brk id="122" max="30" man="1"/>
        <brk id="140" max="30" man="1"/>
      </colBreaks>
      <pageMargins left="0.70866141732283472" right="0.19685039370078741" top="0.74803149606299213" bottom="0.74803149606299213" header="0.31496062992125984" footer="0.31496062992125984"/>
      <pageSetup paperSize="9" scale="50" fitToWidth="7" orientation="landscape" r:id="rId8"/>
    </customSheetView>
    <customSheetView guid="{1718F1EE-9F48-4DBE-9531-3B70F9C4A5DD}" scale="75" showPageBreaks="1" printArea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9"/>
    </customSheetView>
    <customSheetView guid="{3DCB9AAA-F09C-4EA6-B992-F93E466D374A}" scale="75" showPageBreaks="1" printArea="1" hiddenColumns="1" view="pageBreakPreview" topLeftCell="A10">
      <pane xSplit="2" ySplit="4" topLeftCell="DM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0"/>
    </customSheetView>
    <customSheetView guid="{F85EE840-0C31-454A-8951-832C2E9E0600}" scale="70" showPageBreaks="1" printArea="1" hiddenColumns="1" state="hidden" view="pageBreakPreview" topLeftCell="A4">
      <selection activeCell="D73" sqref="D73"/>
      <colBreaks count="5" manualBreakCount="5">
        <brk id="23" max="30" man="1"/>
        <brk id="44" max="30" man="1"/>
        <brk id="86" max="30" man="1"/>
        <brk id="116" max="30" man="1"/>
        <brk id="140" max="30" man="1"/>
      </colBreaks>
      <pageMargins left="0.70866141732283472" right="0.19685039370078741" top="0.28000000000000003" bottom="0.32" header="0.31496062992125984" footer="0.31496062992125984"/>
      <pageSetup paperSize="9" scale="39" fitToWidth="11" orientation="landscape" r:id="rId11"/>
    </customSheetView>
    <customSheetView guid="{F1E84C44-1ACD-474A-BDE0-C7088DB6C590}" scale="70" showPageBreaks="1" printArea="1" hiddenColumns="1" state="hidden" view="pageBreakPreview" topLeftCell="DT4">
      <selection activeCell="EG18" sqref="EG18"/>
      <colBreaks count="4" manualBreakCount="4">
        <brk id="29" max="30" man="1"/>
        <brk id="62" max="30" man="1"/>
        <brk id="101" max="30" man="1"/>
        <brk id="134" max="30" man="1"/>
      </colBreaks>
      <pageMargins left="0.70866141732283472" right="0.19685039370078741" top="0.27559055118110237" bottom="0.31496062992125984" header="0.31496062992125984" footer="0.31496062992125984"/>
      <pageSetup paperSize="9" scale="37" fitToWidth="5" orientation="landscape" r:id="rId12"/>
    </customSheetView>
    <customSheetView guid="{61528DAC-5C4C-48F4-ADE2-8A724B05A086}" scale="70" showPageBreaks="1" printArea="1" hiddenColumns="1" state="hidden" view="pageBreakPreview" topLeftCell="DT4">
      <selection activeCell="EG18" sqref="EG18"/>
      <colBreaks count="4" manualBreakCount="4">
        <brk id="29" max="30" man="1"/>
        <brk id="62" max="30" man="1"/>
        <brk id="101" max="30" man="1"/>
        <brk id="134" max="30" man="1"/>
      </colBreaks>
      <pageMargins left="0.70866141732283472" right="0.19685039370078741" top="0.27559055118110237" bottom="0.31496062992125984" header="0.31496062992125984" footer="0.31496062992125984"/>
      <pageSetup paperSize="9" scale="37" fitToWidth="5" orientation="landscape" r:id="rId13"/>
    </customSheetView>
  </customSheetViews>
  <mergeCells count="69">
    <mergeCell ref="CU9:CW11"/>
    <mergeCell ref="DA9:DC11"/>
    <mergeCell ref="DJ9:DL11"/>
    <mergeCell ref="EH9:EJ11"/>
    <mergeCell ref="DS11:DU11"/>
    <mergeCell ref="EB11:ED11"/>
    <mergeCell ref="FC7:FE11"/>
    <mergeCell ref="DP8:FB8"/>
    <mergeCell ref="DM7:DO11"/>
    <mergeCell ref="DV11:DX11"/>
    <mergeCell ref="DY11:EA11"/>
    <mergeCell ref="EZ9:FB11"/>
    <mergeCell ref="EK9:EM11"/>
    <mergeCell ref="DP7:FB7"/>
    <mergeCell ref="DP9:DR11"/>
    <mergeCell ref="EW9:EY11"/>
    <mergeCell ref="ET9:EV11"/>
    <mergeCell ref="DS9:ED9"/>
    <mergeCell ref="EE9:EG11"/>
    <mergeCell ref="EN9:EP11"/>
    <mergeCell ref="EQ9:ES11"/>
    <mergeCell ref="A31:B31"/>
    <mergeCell ref="BZ9:CB11"/>
    <mergeCell ref="BT9:BV11"/>
    <mergeCell ref="BK9:BM11"/>
    <mergeCell ref="BN9:BP11"/>
    <mergeCell ref="AG9:AI11"/>
    <mergeCell ref="A7:A12"/>
    <mergeCell ref="R9:T11"/>
    <mergeCell ref="X9:Z11"/>
    <mergeCell ref="BW9:BY11"/>
    <mergeCell ref="AS9:AU11"/>
    <mergeCell ref="AJ9:AL11"/>
    <mergeCell ref="AM9:AO11"/>
    <mergeCell ref="BQ9:BS11"/>
    <mergeCell ref="AP9:AR11"/>
    <mergeCell ref="AV9:AX11"/>
    <mergeCell ref="AJ1:AL1"/>
    <mergeCell ref="L8:BD8"/>
    <mergeCell ref="AJ2:AL2"/>
    <mergeCell ref="AJ3:AL3"/>
    <mergeCell ref="AD1:AF1"/>
    <mergeCell ref="B5:AF5"/>
    <mergeCell ref="L6:AD6"/>
    <mergeCell ref="B4:AF4"/>
    <mergeCell ref="B7:B12"/>
    <mergeCell ref="C7:E11"/>
    <mergeCell ref="U9:W11"/>
    <mergeCell ref="AA9:AC11"/>
    <mergeCell ref="AD9:AF11"/>
    <mergeCell ref="F8:H11"/>
    <mergeCell ref="AD3:AF3"/>
    <mergeCell ref="L9:N11"/>
    <mergeCell ref="DJ8:DL8"/>
    <mergeCell ref="BE9:BG11"/>
    <mergeCell ref="BB9:BD11"/>
    <mergeCell ref="AY9:BA11"/>
    <mergeCell ref="BH9:BJ11"/>
    <mergeCell ref="CO9:CQ11"/>
    <mergeCell ref="CR9:CT11"/>
    <mergeCell ref="CX9:CZ11"/>
    <mergeCell ref="CC9:CE11"/>
    <mergeCell ref="DG9:DI11"/>
    <mergeCell ref="CF8:CH11"/>
    <mergeCell ref="CI8:CT8"/>
    <mergeCell ref="DD8:DF11"/>
    <mergeCell ref="CI9:CK11"/>
    <mergeCell ref="CL9:CN11"/>
    <mergeCell ref="DG8:DI8"/>
  </mergeCells>
  <phoneticPr fontId="14" type="noConversion"/>
  <pageMargins left="0.70866141732283472" right="0.19685039370078741" top="0.27559055118110237" bottom="0.31496062992125984" header="0.31496062992125984" footer="0.31496062992125984"/>
  <pageSetup paperSize="9" scale="37" fitToWidth="5" orientation="landscape" r:id="rId14"/>
  <colBreaks count="4" manualBreakCount="4">
    <brk id="29" max="30" man="1"/>
    <brk id="62" max="30" man="1"/>
    <brk id="101" max="30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view="pageBreakPreview" zoomScale="70" zoomScaleNormal="100" zoomScaleSheetLayoutView="70" workbookViewId="0">
      <selection activeCell="F37" sqref="F37"/>
    </sheetView>
  </sheetViews>
  <sheetFormatPr defaultRowHeight="15.75" x14ac:dyDescent="0.2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 x14ac:dyDescent="0.25">
      <c r="A1" s="599" t="s">
        <v>410</v>
      </c>
      <c r="B1" s="599"/>
      <c r="C1" s="599"/>
      <c r="D1" s="599"/>
      <c r="E1" s="599"/>
      <c r="F1" s="599"/>
    </row>
    <row r="2" spans="1:6" x14ac:dyDescent="0.25">
      <c r="A2" s="599"/>
      <c r="B2" s="599"/>
      <c r="C2" s="599"/>
      <c r="D2" s="599"/>
      <c r="E2" s="599"/>
      <c r="F2" s="599"/>
    </row>
    <row r="3" spans="1:6" ht="47.25" customHeight="1" x14ac:dyDescent="0.25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 ht="17.25" customHeight="1" x14ac:dyDescent="0.25">
      <c r="A4" s="3"/>
      <c r="B4" s="4" t="s">
        <v>4</v>
      </c>
      <c r="C4" s="5">
        <f>C5+C12+C14+C17+C7</f>
        <v>1525.98</v>
      </c>
      <c r="D4" s="5">
        <f>D5+D12+D14+D17+D7</f>
        <v>1590.7845299999999</v>
      </c>
      <c r="E4" s="5">
        <f>SUM(D4/C4*100)</f>
        <v>104.24674831911295</v>
      </c>
      <c r="F4" s="5">
        <f>SUM(D4-C4)</f>
        <v>64.804529999999886</v>
      </c>
    </row>
    <row r="5" spans="1:6" s="6" customFormat="1" x14ac:dyDescent="0.25">
      <c r="A5" s="3">
        <v>1010000000</v>
      </c>
      <c r="B5" s="4" t="s">
        <v>5</v>
      </c>
      <c r="C5" s="5">
        <f>C6</f>
        <v>120</v>
      </c>
      <c r="D5" s="5">
        <f>D6</f>
        <v>91.677109999999999</v>
      </c>
      <c r="E5" s="5">
        <f t="shared" ref="E5:E49" si="0">SUM(D5/C5*100)</f>
        <v>76.397591666666671</v>
      </c>
      <c r="F5" s="5">
        <f t="shared" ref="F5:F49" si="1">SUM(D5-C5)</f>
        <v>-28.322890000000001</v>
      </c>
    </row>
    <row r="6" spans="1:6" x14ac:dyDescent="0.25">
      <c r="A6" s="7">
        <v>1010200001</v>
      </c>
      <c r="B6" s="8" t="s">
        <v>220</v>
      </c>
      <c r="C6" s="9">
        <v>120</v>
      </c>
      <c r="D6" s="10">
        <v>91.677109999999999</v>
      </c>
      <c r="E6" s="9">
        <f t="shared" ref="E6:E11" si="2">SUM(D6/C6*100)</f>
        <v>76.397591666666671</v>
      </c>
      <c r="F6" s="9">
        <f t="shared" si="1"/>
        <v>-28.322890000000001</v>
      </c>
    </row>
    <row r="7" spans="1:6" ht="31.5" x14ac:dyDescent="0.25">
      <c r="A7" s="3">
        <v>1030000000</v>
      </c>
      <c r="B7" s="13" t="s">
        <v>259</v>
      </c>
      <c r="C7" s="5">
        <f>C8+C10+C9</f>
        <v>547.98</v>
      </c>
      <c r="D7" s="5">
        <f>D8+D10+D9+D11</f>
        <v>647.85488999999995</v>
      </c>
      <c r="E7" s="5">
        <f t="shared" si="2"/>
        <v>118.22601007336033</v>
      </c>
      <c r="F7" s="5">
        <f t="shared" si="1"/>
        <v>99.874889999999937</v>
      </c>
    </row>
    <row r="8" spans="1:6" x14ac:dyDescent="0.25">
      <c r="A8" s="7">
        <v>1030223001</v>
      </c>
      <c r="B8" s="8" t="s">
        <v>261</v>
      </c>
      <c r="C8" s="9">
        <v>204.39599999999999</v>
      </c>
      <c r="D8" s="10">
        <v>324.77418999999998</v>
      </c>
      <c r="E8" s="9">
        <f t="shared" si="2"/>
        <v>158.8945918706824</v>
      </c>
      <c r="F8" s="9">
        <f t="shared" si="1"/>
        <v>120.37818999999999</v>
      </c>
    </row>
    <row r="9" spans="1:6" x14ac:dyDescent="0.25">
      <c r="A9" s="7">
        <v>1030224001</v>
      </c>
      <c r="B9" s="8" t="s">
        <v>267</v>
      </c>
      <c r="C9" s="9">
        <v>2.1920000000000002</v>
      </c>
      <c r="D9" s="10">
        <v>1.75431</v>
      </c>
      <c r="E9" s="9">
        <f t="shared" si="2"/>
        <v>80.0323905109489</v>
      </c>
      <c r="F9" s="9">
        <f t="shared" si="1"/>
        <v>-0.43769000000000013</v>
      </c>
    </row>
    <row r="10" spans="1:6" x14ac:dyDescent="0.25">
      <c r="A10" s="7">
        <v>1030225001</v>
      </c>
      <c r="B10" s="8" t="s">
        <v>260</v>
      </c>
      <c r="C10" s="9">
        <v>341.392</v>
      </c>
      <c r="D10" s="10">
        <v>358.58740999999998</v>
      </c>
      <c r="E10" s="9">
        <f t="shared" si="2"/>
        <v>105.03685206448891</v>
      </c>
      <c r="F10" s="9">
        <f t="shared" si="1"/>
        <v>17.195409999999981</v>
      </c>
    </row>
    <row r="11" spans="1:6" x14ac:dyDescent="0.25">
      <c r="A11" s="7">
        <v>1030226001</v>
      </c>
      <c r="B11" s="8" t="s">
        <v>269</v>
      </c>
      <c r="C11" s="9">
        <v>0</v>
      </c>
      <c r="D11" s="10">
        <v>-37.261020000000002</v>
      </c>
      <c r="E11" s="9" t="e">
        <f t="shared" si="2"/>
        <v>#DIV/0!</v>
      </c>
      <c r="F11" s="9">
        <f t="shared" si="1"/>
        <v>-37.261020000000002</v>
      </c>
    </row>
    <row r="12" spans="1:6" s="6" customFormat="1" x14ac:dyDescent="0.25">
      <c r="A12" s="3">
        <v>1050000000</v>
      </c>
      <c r="B12" s="4" t="s">
        <v>6</v>
      </c>
      <c r="C12" s="5">
        <f>SUM(C13:C13)</f>
        <v>10</v>
      </c>
      <c r="D12" s="5">
        <f>SUM(D13:D13)</f>
        <v>0.26638000000000001</v>
      </c>
      <c r="E12" s="5">
        <f t="shared" si="0"/>
        <v>2.6638000000000002</v>
      </c>
      <c r="F12" s="5">
        <f t="shared" si="1"/>
        <v>-9.7336200000000002</v>
      </c>
    </row>
    <row r="13" spans="1:6" ht="15.75" customHeight="1" x14ac:dyDescent="0.25">
      <c r="A13" s="7">
        <v>1050300000</v>
      </c>
      <c r="B13" s="11" t="s">
        <v>221</v>
      </c>
      <c r="C13" s="12">
        <v>10</v>
      </c>
      <c r="D13" s="10">
        <v>0.26638000000000001</v>
      </c>
      <c r="E13" s="9">
        <f t="shared" si="0"/>
        <v>2.6638000000000002</v>
      </c>
      <c r="F13" s="9">
        <f t="shared" si="1"/>
        <v>-9.7336200000000002</v>
      </c>
    </row>
    <row r="14" spans="1:6" s="6" customFormat="1" ht="15.75" customHeight="1" x14ac:dyDescent="0.25">
      <c r="A14" s="3">
        <v>1060000000</v>
      </c>
      <c r="B14" s="4" t="s">
        <v>129</v>
      </c>
      <c r="C14" s="5">
        <f>C15+C16</f>
        <v>843</v>
      </c>
      <c r="D14" s="5">
        <f>D15+D16</f>
        <v>849.89615000000003</v>
      </c>
      <c r="E14" s="5">
        <f t="shared" si="0"/>
        <v>100.81804863582444</v>
      </c>
      <c r="F14" s="5">
        <f t="shared" si="1"/>
        <v>6.8961500000000342</v>
      </c>
    </row>
    <row r="15" spans="1:6" s="6" customFormat="1" ht="15.75" customHeight="1" x14ac:dyDescent="0.25">
      <c r="A15" s="7">
        <v>1060100000</v>
      </c>
      <c r="B15" s="11" t="s">
        <v>8</v>
      </c>
      <c r="C15" s="9">
        <v>323</v>
      </c>
      <c r="D15" s="10">
        <v>296.83465000000001</v>
      </c>
      <c r="E15" s="9">
        <f t="shared" si="0"/>
        <v>91.899272445820429</v>
      </c>
      <c r="F15" s="9">
        <f>SUM(D15-C15)</f>
        <v>-26.165349999999989</v>
      </c>
    </row>
    <row r="16" spans="1:6" ht="15.75" customHeight="1" x14ac:dyDescent="0.25">
      <c r="A16" s="7">
        <v>1060600000</v>
      </c>
      <c r="B16" s="11" t="s">
        <v>7</v>
      </c>
      <c r="C16" s="9">
        <v>520</v>
      </c>
      <c r="D16" s="10">
        <v>553.06150000000002</v>
      </c>
      <c r="E16" s="9">
        <f t="shared" si="0"/>
        <v>106.35798076923078</v>
      </c>
      <c r="F16" s="9">
        <f t="shared" si="1"/>
        <v>33.061500000000024</v>
      </c>
    </row>
    <row r="17" spans="1:6" s="6" customFormat="1" x14ac:dyDescent="0.25">
      <c r="A17" s="3">
        <v>1080000000</v>
      </c>
      <c r="B17" s="4" t="s">
        <v>10</v>
      </c>
      <c r="C17" s="5">
        <f>C18</f>
        <v>5</v>
      </c>
      <c r="D17" s="5">
        <f>D18</f>
        <v>1.0900000000000001</v>
      </c>
      <c r="E17" s="5">
        <f t="shared" si="0"/>
        <v>21.800000000000004</v>
      </c>
      <c r="F17" s="5">
        <f t="shared" si="1"/>
        <v>-3.91</v>
      </c>
    </row>
    <row r="18" spans="1:6" x14ac:dyDescent="0.25">
      <c r="A18" s="7">
        <v>1080400001</v>
      </c>
      <c r="B18" s="8" t="s">
        <v>219</v>
      </c>
      <c r="C18" s="9">
        <v>5</v>
      </c>
      <c r="D18" s="10">
        <v>1.0900000000000001</v>
      </c>
      <c r="E18" s="9">
        <f t="shared" si="0"/>
        <v>21.800000000000004</v>
      </c>
      <c r="F18" s="9">
        <f t="shared" si="1"/>
        <v>-3.91</v>
      </c>
    </row>
    <row r="19" spans="1:6" ht="47.25" hidden="1" customHeight="1" x14ac:dyDescent="0.25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 x14ac:dyDescent="0.25">
      <c r="A20" s="3">
        <v>1090000000</v>
      </c>
      <c r="B20" s="13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 x14ac:dyDescent="0.25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 x14ac:dyDescent="0.25">
      <c r="A22" s="7">
        <v>1090400000</v>
      </c>
      <c r="B22" s="8" t="s">
        <v>224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 x14ac:dyDescent="0.25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 x14ac:dyDescent="0.25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 x14ac:dyDescent="0.25">
      <c r="A25" s="3"/>
      <c r="B25" s="4" t="s">
        <v>12</v>
      </c>
      <c r="C25" s="5">
        <f>C26+C29+C31+C34+C36</f>
        <v>1145.8462399999999</v>
      </c>
      <c r="D25" s="5">
        <f>D26+D29+D31+D34+D36</f>
        <v>1755.0107799999998</v>
      </c>
      <c r="E25" s="5">
        <f t="shared" si="0"/>
        <v>153.16285193727214</v>
      </c>
      <c r="F25" s="5">
        <f t="shared" si="1"/>
        <v>609.16453999999999</v>
      </c>
    </row>
    <row r="26" spans="1:6" s="6" customFormat="1" ht="32.25" customHeight="1" x14ac:dyDescent="0.25">
      <c r="A26" s="3">
        <v>1110000000</v>
      </c>
      <c r="B26" s="13" t="s">
        <v>122</v>
      </c>
      <c r="C26" s="5">
        <f>C27+C28</f>
        <v>320</v>
      </c>
      <c r="D26" s="5">
        <f>D27</f>
        <v>487.66397999999998</v>
      </c>
      <c r="E26" s="5">
        <f t="shared" si="0"/>
        <v>152.39499375</v>
      </c>
      <c r="F26" s="5">
        <f t="shared" si="1"/>
        <v>167.66397999999998</v>
      </c>
    </row>
    <row r="27" spans="1:6" ht="15" customHeight="1" x14ac:dyDescent="0.25">
      <c r="A27" s="16">
        <v>1110502510</v>
      </c>
      <c r="B27" s="17" t="s">
        <v>217</v>
      </c>
      <c r="C27" s="12">
        <v>320</v>
      </c>
      <c r="D27" s="10">
        <v>487.66397999999998</v>
      </c>
      <c r="E27" s="5">
        <f t="shared" si="0"/>
        <v>152.39499375</v>
      </c>
      <c r="F27" s="9">
        <f t="shared" si="1"/>
        <v>167.66397999999998</v>
      </c>
    </row>
    <row r="28" spans="1:6" ht="19.5" hidden="1" customHeight="1" x14ac:dyDescent="0.25">
      <c r="A28" s="7">
        <v>1110503505</v>
      </c>
      <c r="B28" s="11" t="s">
        <v>216</v>
      </c>
      <c r="C28" s="12">
        <v>0</v>
      </c>
      <c r="D28" s="10"/>
      <c r="E28" s="9" t="e">
        <f t="shared" si="0"/>
        <v>#DIV/0!</v>
      </c>
      <c r="F28" s="9">
        <f t="shared" si="1"/>
        <v>0</v>
      </c>
    </row>
    <row r="29" spans="1:6" s="15" customFormat="1" ht="31.5" x14ac:dyDescent="0.25">
      <c r="A29" s="3">
        <v>1130000000</v>
      </c>
      <c r="B29" s="13" t="s">
        <v>124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x14ac:dyDescent="0.25">
      <c r="A30" s="7">
        <v>1130305005</v>
      </c>
      <c r="B30" s="8" t="s">
        <v>215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33" customHeight="1" x14ac:dyDescent="0.25">
      <c r="A31" s="107">
        <v>1140000000</v>
      </c>
      <c r="B31" s="108" t="s">
        <v>125</v>
      </c>
      <c r="C31" s="5">
        <f>C33+C32</f>
        <v>0</v>
      </c>
      <c r="D31" s="5">
        <f>D33+D32</f>
        <v>0</v>
      </c>
      <c r="E31" s="5" t="e">
        <f t="shared" si="0"/>
        <v>#DIV/0!</v>
      </c>
      <c r="F31" s="5">
        <f t="shared" si="1"/>
        <v>0</v>
      </c>
    </row>
    <row r="32" spans="1:6" ht="14.25" customHeight="1" x14ac:dyDescent="0.25">
      <c r="A32" s="16">
        <v>1140200000</v>
      </c>
      <c r="B32" s="18" t="s">
        <v>213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8" ht="17.25" customHeight="1" x14ac:dyDescent="0.25">
      <c r="A33" s="7">
        <v>1140600000</v>
      </c>
      <c r="B33" s="8" t="s">
        <v>214</v>
      </c>
      <c r="C33" s="9"/>
      <c r="D33" s="10">
        <v>0</v>
      </c>
      <c r="E33" s="9" t="e">
        <f t="shared" si="0"/>
        <v>#DIV/0!</v>
      </c>
      <c r="F33" s="9">
        <f t="shared" si="1"/>
        <v>0</v>
      </c>
    </row>
    <row r="34" spans="1:8" ht="18.75" customHeight="1" x14ac:dyDescent="0.25">
      <c r="A34" s="3">
        <v>1160000000</v>
      </c>
      <c r="B34" s="13" t="s">
        <v>236</v>
      </c>
      <c r="C34" s="5">
        <f>C35</f>
        <v>0</v>
      </c>
      <c r="D34" s="5">
        <f>SUM(D35)</f>
        <v>41.4968</v>
      </c>
      <c r="E34" s="5" t="e">
        <f t="shared" si="0"/>
        <v>#DIV/0!</v>
      </c>
      <c r="F34" s="5">
        <f t="shared" si="1"/>
        <v>41.4968</v>
      </c>
    </row>
    <row r="35" spans="1:8" ht="36.75" customHeight="1" x14ac:dyDescent="0.25">
      <c r="A35" s="7">
        <v>1160701010</v>
      </c>
      <c r="B35" s="8" t="s">
        <v>404</v>
      </c>
      <c r="C35" s="9">
        <v>0</v>
      </c>
      <c r="D35" s="9">
        <v>41.4968</v>
      </c>
      <c r="E35" s="9" t="e">
        <f t="shared" si="0"/>
        <v>#DIV/0!</v>
      </c>
      <c r="F35" s="9">
        <f t="shared" si="1"/>
        <v>41.4968</v>
      </c>
    </row>
    <row r="36" spans="1:8" ht="18.75" customHeight="1" x14ac:dyDescent="0.25">
      <c r="A36" s="3">
        <v>1170000000</v>
      </c>
      <c r="B36" s="4" t="s">
        <v>212</v>
      </c>
      <c r="C36" s="5">
        <f>SUM(C37)</f>
        <v>825.84623999999997</v>
      </c>
      <c r="D36" s="5">
        <f>SUM(D37)</f>
        <v>1225.8499999999999</v>
      </c>
      <c r="E36" s="9"/>
      <c r="F36" s="9"/>
    </row>
    <row r="37" spans="1:8" ht="27" customHeight="1" x14ac:dyDescent="0.25">
      <c r="A37" s="7">
        <v>1171503010</v>
      </c>
      <c r="B37" s="11" t="s">
        <v>406</v>
      </c>
      <c r="C37" s="9">
        <v>825.84623999999997</v>
      </c>
      <c r="D37" s="10">
        <v>1225.8499999999999</v>
      </c>
      <c r="E37" s="9">
        <f t="shared" si="0"/>
        <v>148.43562162370563</v>
      </c>
      <c r="F37" s="9">
        <f t="shared" si="1"/>
        <v>400.00375999999994</v>
      </c>
    </row>
    <row r="38" spans="1:8" s="6" customFormat="1" ht="15" customHeight="1" x14ac:dyDescent="0.25">
      <c r="A38" s="3">
        <v>1000000000</v>
      </c>
      <c r="B38" s="4" t="s">
        <v>16</v>
      </c>
      <c r="C38" s="125">
        <f>SUM(C4,C25)</f>
        <v>2671.8262399999999</v>
      </c>
      <c r="D38" s="125">
        <f>D4+D25</f>
        <v>3345.7953099999995</v>
      </c>
      <c r="E38" s="5">
        <f t="shared" si="0"/>
        <v>125.22503372075573</v>
      </c>
      <c r="F38" s="5">
        <f t="shared" si="1"/>
        <v>673.96906999999965</v>
      </c>
    </row>
    <row r="39" spans="1:8" s="6" customFormat="1" x14ac:dyDescent="0.25">
      <c r="A39" s="3">
        <v>2000000000</v>
      </c>
      <c r="B39" s="4" t="s">
        <v>17</v>
      </c>
      <c r="C39" s="5">
        <f>C40+C42+C43+C45+C46+C47+C41</f>
        <v>11975.50999</v>
      </c>
      <c r="D39" s="5">
        <f>D40+D42+D43+D45+D46+D47+D41</f>
        <v>11244.602559999999</v>
      </c>
      <c r="E39" s="5">
        <f t="shared" si="0"/>
        <v>93.896648822385558</v>
      </c>
      <c r="F39" s="5">
        <f t="shared" si="1"/>
        <v>-730.90743000000111</v>
      </c>
      <c r="G39" s="19"/>
    </row>
    <row r="40" spans="1:8" ht="14.25" customHeight="1" x14ac:dyDescent="0.25">
      <c r="A40" s="16">
        <v>2021000000</v>
      </c>
      <c r="B40" s="17" t="s">
        <v>18</v>
      </c>
      <c r="C40" s="12">
        <v>2129.1</v>
      </c>
      <c r="D40" s="253">
        <v>2129.1</v>
      </c>
      <c r="E40" s="9">
        <f t="shared" si="0"/>
        <v>100</v>
      </c>
      <c r="F40" s="9">
        <f t="shared" si="1"/>
        <v>0</v>
      </c>
    </row>
    <row r="41" spans="1:8" ht="15.75" hidden="1" customHeight="1" x14ac:dyDescent="0.25">
      <c r="A41" s="16">
        <v>2021500200</v>
      </c>
      <c r="B41" s="17" t="s">
        <v>223</v>
      </c>
      <c r="C41" s="12"/>
      <c r="D41" s="20">
        <v>0</v>
      </c>
      <c r="E41" s="9" t="e">
        <f t="shared" si="0"/>
        <v>#DIV/0!</v>
      </c>
      <c r="F41" s="9">
        <f t="shared" si="1"/>
        <v>0</v>
      </c>
    </row>
    <row r="42" spans="1:8" x14ac:dyDescent="0.25">
      <c r="A42" s="16">
        <v>2022000000</v>
      </c>
      <c r="B42" s="17" t="s">
        <v>19</v>
      </c>
      <c r="C42" s="12">
        <v>6333.7063699999999</v>
      </c>
      <c r="D42" s="10">
        <v>5921.0460800000001</v>
      </c>
      <c r="E42" s="9">
        <f t="shared" si="0"/>
        <v>93.484694965421966</v>
      </c>
      <c r="F42" s="9">
        <f t="shared" si="1"/>
        <v>-412.6602899999998</v>
      </c>
    </row>
    <row r="43" spans="1:8" ht="13.5" customHeight="1" x14ac:dyDescent="0.25">
      <c r="A43" s="16">
        <v>2023000000</v>
      </c>
      <c r="B43" s="17" t="s">
        <v>20</v>
      </c>
      <c r="C43" s="12">
        <v>44.321980000000003</v>
      </c>
      <c r="D43" s="180">
        <v>44.321980000000003</v>
      </c>
      <c r="E43" s="9">
        <f t="shared" si="0"/>
        <v>100</v>
      </c>
      <c r="F43" s="9">
        <f t="shared" si="1"/>
        <v>0</v>
      </c>
    </row>
    <row r="44" spans="1:8" hidden="1" x14ac:dyDescent="0.25">
      <c r="A44" s="16">
        <v>2070503010</v>
      </c>
      <c r="B44" s="17" t="s">
        <v>252</v>
      </c>
      <c r="C44" s="12">
        <v>0</v>
      </c>
      <c r="D44" s="180">
        <v>0</v>
      </c>
      <c r="E44" s="9" t="e">
        <f t="shared" si="0"/>
        <v>#DIV/0!</v>
      </c>
      <c r="F44" s="9">
        <f t="shared" si="1"/>
        <v>0</v>
      </c>
    </row>
    <row r="45" spans="1:8" ht="27.75" customHeight="1" x14ac:dyDescent="0.25">
      <c r="A45" s="16">
        <v>2024000000</v>
      </c>
      <c r="B45" s="17" t="s">
        <v>21</v>
      </c>
      <c r="C45" s="12">
        <v>3468.3816400000001</v>
      </c>
      <c r="D45" s="181">
        <v>3150.1345000000001</v>
      </c>
      <c r="E45" s="9">
        <f t="shared" si="0"/>
        <v>90.824333276080893</v>
      </c>
      <c r="F45" s="9">
        <f t="shared" si="1"/>
        <v>-318.24713999999994</v>
      </c>
    </row>
    <row r="46" spans="1:8" ht="18" customHeight="1" x14ac:dyDescent="0.25">
      <c r="A46" s="16">
        <v>2070500000</v>
      </c>
      <c r="B46" s="18" t="s">
        <v>276</v>
      </c>
      <c r="C46" s="12"/>
      <c r="D46" s="181"/>
      <c r="E46" s="9" t="e">
        <f>SUM(D46/C46*100)</f>
        <v>#DIV/0!</v>
      </c>
      <c r="F46" s="9">
        <f t="shared" si="1"/>
        <v>0</v>
      </c>
      <c r="G46" s="237"/>
      <c r="H46" s="237"/>
    </row>
    <row r="47" spans="1:8" ht="15.75" hidden="1" customHeight="1" x14ac:dyDescent="0.25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8" s="6" customFormat="1" ht="31.5" hidden="1" x14ac:dyDescent="0.25">
      <c r="A48" s="3">
        <v>3000000000</v>
      </c>
      <c r="B48" s="13" t="s">
        <v>24</v>
      </c>
      <c r="C48" s="184">
        <v>0</v>
      </c>
      <c r="D48" s="14">
        <v>0</v>
      </c>
      <c r="E48" s="5" t="e">
        <f t="shared" si="0"/>
        <v>#DIV/0!</v>
      </c>
      <c r="F48" s="5">
        <f t="shared" si="1"/>
        <v>0</v>
      </c>
    </row>
    <row r="49" spans="1:8" s="6" customFormat="1" ht="15" customHeight="1" x14ac:dyDescent="0.25">
      <c r="A49" s="3"/>
      <c r="B49" s="4" t="s">
        <v>25</v>
      </c>
      <c r="C49" s="370">
        <f>SUM(C38,C39,C48)</f>
        <v>14647.336230000001</v>
      </c>
      <c r="D49" s="371">
        <f>D38+D39</f>
        <v>14590.397869999999</v>
      </c>
      <c r="E49" s="5">
        <f t="shared" si="0"/>
        <v>99.611271571117598</v>
      </c>
      <c r="F49" s="5">
        <f t="shared" si="1"/>
        <v>-56.938360000001921</v>
      </c>
      <c r="G49" s="193"/>
      <c r="H49" s="193"/>
    </row>
    <row r="50" spans="1:8" s="6" customFormat="1" x14ac:dyDescent="0.25">
      <c r="A50" s="3"/>
      <c r="B50" s="21" t="s">
        <v>299</v>
      </c>
      <c r="C50" s="240">
        <f>C49-C96</f>
        <v>-378.59134999999696</v>
      </c>
      <c r="D50" s="240">
        <f>D49-D96</f>
        <v>656.86254000000008</v>
      </c>
      <c r="E50" s="22"/>
      <c r="F50" s="22"/>
    </row>
    <row r="51" spans="1:8" ht="8.25" customHeight="1" x14ac:dyDescent="0.25">
      <c r="A51" s="23"/>
      <c r="B51" s="24"/>
      <c r="C51" s="208"/>
      <c r="D51" s="208"/>
      <c r="E51" s="26"/>
      <c r="F51" s="27"/>
    </row>
    <row r="52" spans="1:8" ht="50.25" customHeight="1" x14ac:dyDescent="0.25">
      <c r="A52" s="28" t="s">
        <v>0</v>
      </c>
      <c r="B52" s="28" t="s">
        <v>26</v>
      </c>
      <c r="C52" s="72" t="s">
        <v>394</v>
      </c>
      <c r="D52" s="399" t="s">
        <v>409</v>
      </c>
      <c r="E52" s="72" t="s">
        <v>2</v>
      </c>
      <c r="F52" s="73" t="s">
        <v>3</v>
      </c>
    </row>
    <row r="53" spans="1:8" ht="18" customHeight="1" x14ac:dyDescent="0.25">
      <c r="A53" s="29">
        <v>1</v>
      </c>
      <c r="B53" s="28">
        <v>2</v>
      </c>
      <c r="C53" s="86">
        <v>3</v>
      </c>
      <c r="D53" s="86">
        <v>4</v>
      </c>
      <c r="E53" s="86">
        <v>5</v>
      </c>
      <c r="F53" s="86">
        <v>6</v>
      </c>
    </row>
    <row r="54" spans="1:8" s="6" customFormat="1" x14ac:dyDescent="0.25">
      <c r="A54" s="30" t="s">
        <v>27</v>
      </c>
      <c r="B54" s="31" t="s">
        <v>28</v>
      </c>
      <c r="C54" s="32">
        <f>C55+C56+C57+C58+C59+C61+C60</f>
        <v>1586.1167099999998</v>
      </c>
      <c r="D54" s="32">
        <f>D55+D56+D57+D58+D59+D61+D60</f>
        <v>1449.2165100000002</v>
      </c>
      <c r="E54" s="34">
        <f>SUM(D54/C54*100)</f>
        <v>91.368844478033424</v>
      </c>
      <c r="F54" s="34">
        <f>SUM(D54-C54)</f>
        <v>-136.90019999999959</v>
      </c>
    </row>
    <row r="55" spans="1:8" s="6" customFormat="1" ht="31.5" hidden="1" x14ac:dyDescent="0.25">
      <c r="A55" s="35" t="s">
        <v>29</v>
      </c>
      <c r="B55" s="36" t="s">
        <v>30</v>
      </c>
      <c r="C55" s="37"/>
      <c r="D55" s="37"/>
      <c r="E55" s="38"/>
      <c r="F55" s="38"/>
    </row>
    <row r="56" spans="1:8" ht="20.25" customHeight="1" x14ac:dyDescent="0.25">
      <c r="A56" s="35" t="s">
        <v>31</v>
      </c>
      <c r="B56" s="39" t="s">
        <v>32</v>
      </c>
      <c r="C56" s="37">
        <v>1492.4967099999999</v>
      </c>
      <c r="D56" s="37">
        <v>1365.5965100000001</v>
      </c>
      <c r="E56" s="38">
        <f t="shared" ref="E56:E96" si="3">SUM(D56/C56*100)</f>
        <v>91.497455294223073</v>
      </c>
      <c r="F56" s="38">
        <f t="shared" ref="F56:F96" si="4">SUM(D56-C56)</f>
        <v>-126.90019999999981</v>
      </c>
    </row>
    <row r="57" spans="1:8" ht="16.5" hidden="1" customHeight="1" x14ac:dyDescent="0.25">
      <c r="A57" s="35" t="s">
        <v>33</v>
      </c>
      <c r="B57" s="39" t="s">
        <v>34</v>
      </c>
      <c r="C57" s="37"/>
      <c r="D57" s="37"/>
      <c r="E57" s="38"/>
      <c r="F57" s="38">
        <f t="shared" si="4"/>
        <v>0</v>
      </c>
    </row>
    <row r="58" spans="1:8" ht="31.5" hidden="1" customHeight="1" x14ac:dyDescent="0.25">
      <c r="A58" s="35" t="s">
        <v>35</v>
      </c>
      <c r="B58" s="39" t="s">
        <v>36</v>
      </c>
      <c r="C58" s="37"/>
      <c r="D58" s="37"/>
      <c r="E58" s="38" t="e">
        <f t="shared" si="3"/>
        <v>#DIV/0!</v>
      </c>
      <c r="F58" s="38">
        <f t="shared" si="4"/>
        <v>0</v>
      </c>
    </row>
    <row r="59" spans="1:8" ht="18.75" customHeight="1" x14ac:dyDescent="0.25">
      <c r="A59" s="35" t="s">
        <v>37</v>
      </c>
      <c r="B59" s="39" t="s">
        <v>38</v>
      </c>
      <c r="C59" s="37"/>
      <c r="D59" s="37">
        <v>0</v>
      </c>
      <c r="E59" s="38" t="e">
        <f t="shared" si="3"/>
        <v>#DIV/0!</v>
      </c>
      <c r="F59" s="38">
        <f t="shared" si="4"/>
        <v>0</v>
      </c>
    </row>
    <row r="60" spans="1:8" ht="13.5" customHeight="1" x14ac:dyDescent="0.25">
      <c r="A60" s="35" t="s">
        <v>39</v>
      </c>
      <c r="B60" s="39" t="s">
        <v>40</v>
      </c>
      <c r="C60" s="40">
        <v>5</v>
      </c>
      <c r="D60" s="40">
        <v>0</v>
      </c>
      <c r="E60" s="38">
        <f t="shared" si="3"/>
        <v>0</v>
      </c>
      <c r="F60" s="38">
        <f t="shared" si="4"/>
        <v>-5</v>
      </c>
    </row>
    <row r="61" spans="1:8" ht="15.75" customHeight="1" x14ac:dyDescent="0.25">
      <c r="A61" s="35" t="s">
        <v>41</v>
      </c>
      <c r="B61" s="39" t="s">
        <v>42</v>
      </c>
      <c r="C61" s="37">
        <v>88.62</v>
      </c>
      <c r="D61" s="37">
        <v>83.62</v>
      </c>
      <c r="E61" s="38">
        <f t="shared" si="3"/>
        <v>94.357932746558333</v>
      </c>
      <c r="F61" s="38">
        <f t="shared" si="4"/>
        <v>-5</v>
      </c>
    </row>
    <row r="62" spans="1:8" s="6" customFormat="1" x14ac:dyDescent="0.25">
      <c r="A62" s="41" t="s">
        <v>43</v>
      </c>
      <c r="B62" s="42" t="s">
        <v>44</v>
      </c>
      <c r="C62" s="32">
        <f>C63</f>
        <v>44.321980000000003</v>
      </c>
      <c r="D62" s="32">
        <f>D63</f>
        <v>44.321980000000003</v>
      </c>
      <c r="E62" s="34">
        <f t="shared" si="3"/>
        <v>100</v>
      </c>
      <c r="F62" s="34">
        <f t="shared" si="4"/>
        <v>0</v>
      </c>
    </row>
    <row r="63" spans="1:8" x14ac:dyDescent="0.25">
      <c r="A63" s="43" t="s">
        <v>45</v>
      </c>
      <c r="B63" s="44" t="s">
        <v>46</v>
      </c>
      <c r="C63" s="37">
        <v>44.321980000000003</v>
      </c>
      <c r="D63" s="37">
        <v>44.321980000000003</v>
      </c>
      <c r="E63" s="38">
        <f t="shared" si="3"/>
        <v>100</v>
      </c>
      <c r="F63" s="38">
        <f t="shared" si="4"/>
        <v>0</v>
      </c>
    </row>
    <row r="64" spans="1:8" s="6" customFormat="1" ht="16.5" customHeight="1" x14ac:dyDescent="0.25">
      <c r="A64" s="30" t="s">
        <v>47</v>
      </c>
      <c r="B64" s="31" t="s">
        <v>48</v>
      </c>
      <c r="C64" s="32">
        <f>C68+C67+C69</f>
        <v>37.598399999999998</v>
      </c>
      <c r="D64" s="32">
        <f>D68+D67+D69</f>
        <v>37.59834</v>
      </c>
      <c r="E64" s="34">
        <f t="shared" si="3"/>
        <v>99.999840418741229</v>
      </c>
      <c r="F64" s="34">
        <f t="shared" si="4"/>
        <v>-5.9999999997728537E-5</v>
      </c>
    </row>
    <row r="65" spans="1:7" hidden="1" x14ac:dyDescent="0.25">
      <c r="A65" s="35" t="s">
        <v>49</v>
      </c>
      <c r="B65" s="39" t="s">
        <v>50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9.5" hidden="1" customHeight="1" x14ac:dyDescent="0.25">
      <c r="A66" s="45" t="s">
        <v>51</v>
      </c>
      <c r="B66" s="39" t="s">
        <v>52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t="18" customHeight="1" x14ac:dyDescent="0.25">
      <c r="A67" s="46" t="s">
        <v>53</v>
      </c>
      <c r="B67" s="47" t="s">
        <v>54</v>
      </c>
      <c r="C67" s="95">
        <v>2.83134</v>
      </c>
      <c r="D67" s="37">
        <v>2.83134</v>
      </c>
      <c r="E67" s="34">
        <f t="shared" si="3"/>
        <v>100</v>
      </c>
      <c r="F67" s="34">
        <f t="shared" si="4"/>
        <v>0</v>
      </c>
    </row>
    <row r="68" spans="1:7" ht="15.75" customHeight="1" x14ac:dyDescent="0.25">
      <c r="A68" s="46" t="s">
        <v>210</v>
      </c>
      <c r="B68" s="47" t="s">
        <v>211</v>
      </c>
      <c r="C68" s="37">
        <v>32.767060000000001</v>
      </c>
      <c r="D68" s="37">
        <v>32.767000000000003</v>
      </c>
      <c r="E68" s="34">
        <f t="shared" si="3"/>
        <v>99.999816889278449</v>
      </c>
      <c r="F68" s="34">
        <f t="shared" si="4"/>
        <v>-5.9999999997728537E-5</v>
      </c>
    </row>
    <row r="69" spans="1:7" ht="15.75" customHeight="1" x14ac:dyDescent="0.25">
      <c r="A69" s="46" t="s">
        <v>330</v>
      </c>
      <c r="B69" s="47" t="s">
        <v>331</v>
      </c>
      <c r="C69" s="37">
        <v>2</v>
      </c>
      <c r="D69" s="37">
        <v>2</v>
      </c>
      <c r="E69" s="34"/>
      <c r="F69" s="34"/>
    </row>
    <row r="70" spans="1:7" s="6" customFormat="1" ht="15" customHeight="1" x14ac:dyDescent="0.25">
      <c r="A70" s="30" t="s">
        <v>55</v>
      </c>
      <c r="B70" s="31" t="s">
        <v>56</v>
      </c>
      <c r="C70" s="48">
        <f>SUM(C71:C74)</f>
        <v>1178.02135</v>
      </c>
      <c r="D70" s="48">
        <f>SUM(D71:D74)</f>
        <v>958.36656000000005</v>
      </c>
      <c r="E70" s="34">
        <f t="shared" si="3"/>
        <v>81.353921132244338</v>
      </c>
      <c r="F70" s="34">
        <f t="shared" si="4"/>
        <v>-219.65478999999993</v>
      </c>
    </row>
    <row r="71" spans="1:7" ht="15" hidden="1" customHeight="1" x14ac:dyDescent="0.25">
      <c r="A71" s="35" t="s">
        <v>57</v>
      </c>
      <c r="B71" s="39" t="s">
        <v>58</v>
      </c>
      <c r="C71" s="49">
        <v>0</v>
      </c>
      <c r="D71" s="37">
        <v>0</v>
      </c>
      <c r="E71" s="38" t="e">
        <f t="shared" si="3"/>
        <v>#DIV/0!</v>
      </c>
      <c r="F71" s="38">
        <f t="shared" si="4"/>
        <v>0</v>
      </c>
    </row>
    <row r="72" spans="1:7" s="6" customFormat="1" ht="0.75" customHeight="1" x14ac:dyDescent="0.25">
      <c r="A72" s="35" t="s">
        <v>59</v>
      </c>
      <c r="B72" s="39" t="s">
        <v>60</v>
      </c>
      <c r="C72" s="49"/>
      <c r="D72" s="37">
        <v>0</v>
      </c>
      <c r="E72" s="38" t="e">
        <f t="shared" si="3"/>
        <v>#DIV/0!</v>
      </c>
      <c r="F72" s="38">
        <f t="shared" si="4"/>
        <v>0</v>
      </c>
      <c r="G72" s="50"/>
    </row>
    <row r="73" spans="1:7" x14ac:dyDescent="0.25">
      <c r="A73" s="35" t="s">
        <v>61</v>
      </c>
      <c r="B73" s="39" t="s">
        <v>62</v>
      </c>
      <c r="C73" s="49">
        <v>1161.52135</v>
      </c>
      <c r="D73" s="37">
        <v>941.86656000000005</v>
      </c>
      <c r="E73" s="38">
        <f t="shared" si="3"/>
        <v>81.089044123037439</v>
      </c>
      <c r="F73" s="38">
        <f t="shared" si="4"/>
        <v>-219.65478999999993</v>
      </c>
    </row>
    <row r="74" spans="1:7" x14ac:dyDescent="0.25">
      <c r="A74" s="35" t="s">
        <v>63</v>
      </c>
      <c r="B74" s="39" t="s">
        <v>64</v>
      </c>
      <c r="C74" s="49">
        <v>16.5</v>
      </c>
      <c r="D74" s="37">
        <v>16.5</v>
      </c>
      <c r="E74" s="38">
        <f t="shared" si="3"/>
        <v>100</v>
      </c>
      <c r="F74" s="38">
        <f t="shared" si="4"/>
        <v>0</v>
      </c>
    </row>
    <row r="75" spans="1:7" s="6" customFormat="1" ht="16.5" customHeight="1" x14ac:dyDescent="0.25">
      <c r="A75" s="30" t="s">
        <v>65</v>
      </c>
      <c r="B75" s="31" t="s">
        <v>66</v>
      </c>
      <c r="C75" s="32">
        <f>SUM(C76:C78)</f>
        <v>10952.36614</v>
      </c>
      <c r="D75" s="32">
        <f>SUM(D77:D78)</f>
        <v>10240.9421</v>
      </c>
      <c r="E75" s="34">
        <f t="shared" si="3"/>
        <v>93.50438041509814</v>
      </c>
      <c r="F75" s="34">
        <f t="shared" si="4"/>
        <v>-711.42403999999988</v>
      </c>
    </row>
    <row r="76" spans="1:7" hidden="1" x14ac:dyDescent="0.25">
      <c r="A76" s="35" t="s">
        <v>67</v>
      </c>
      <c r="B76" s="51" t="s">
        <v>68</v>
      </c>
      <c r="C76" s="37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 ht="17.25" customHeight="1" x14ac:dyDescent="0.25">
      <c r="A77" s="35" t="s">
        <v>69</v>
      </c>
      <c r="B77" s="51" t="s">
        <v>70</v>
      </c>
      <c r="C77" s="37">
        <v>10604.957490000001</v>
      </c>
      <c r="D77" s="37">
        <v>9894.0341200000003</v>
      </c>
      <c r="E77" s="38">
        <f t="shared" si="3"/>
        <v>93.296310987852905</v>
      </c>
      <c r="F77" s="38">
        <f t="shared" si="4"/>
        <v>-710.92337000000043</v>
      </c>
    </row>
    <row r="78" spans="1:7" x14ac:dyDescent="0.25">
      <c r="A78" s="35" t="s">
        <v>71</v>
      </c>
      <c r="B78" s="39" t="s">
        <v>72</v>
      </c>
      <c r="C78" s="37">
        <v>347.40865000000002</v>
      </c>
      <c r="D78" s="37">
        <v>346.90798000000001</v>
      </c>
      <c r="E78" s="38">
        <f>SUM(D78/C78*100)</f>
        <v>99.855884417385681</v>
      </c>
      <c r="F78" s="38">
        <f t="shared" si="4"/>
        <v>-0.50067000000001372</v>
      </c>
    </row>
    <row r="79" spans="1:7" s="6" customFormat="1" x14ac:dyDescent="0.25">
      <c r="A79" s="30" t="s">
        <v>81</v>
      </c>
      <c r="B79" s="31" t="s">
        <v>82</v>
      </c>
      <c r="C79" s="32">
        <f>C80</f>
        <v>1224.953</v>
      </c>
      <c r="D79" s="32">
        <f>SUM(D80)</f>
        <v>1200.5398399999999</v>
      </c>
      <c r="E79" s="34">
        <f t="shared" si="3"/>
        <v>98.007012513949505</v>
      </c>
      <c r="F79" s="34">
        <f t="shared" si="4"/>
        <v>-24.413160000000062</v>
      </c>
    </row>
    <row r="80" spans="1:7" ht="20.25" customHeight="1" x14ac:dyDescent="0.25">
      <c r="A80" s="35" t="s">
        <v>83</v>
      </c>
      <c r="B80" s="39" t="s">
        <v>225</v>
      </c>
      <c r="C80" s="37">
        <v>1224.953</v>
      </c>
      <c r="D80" s="37">
        <v>1200.5398399999999</v>
      </c>
      <c r="E80" s="38">
        <f t="shared" si="3"/>
        <v>98.007012513949505</v>
      </c>
      <c r="F80" s="38">
        <f t="shared" si="4"/>
        <v>-24.413160000000062</v>
      </c>
    </row>
    <row r="81" spans="1:6" s="6" customFormat="1" ht="0.75" customHeight="1" x14ac:dyDescent="0.25">
      <c r="A81" s="52">
        <v>1000</v>
      </c>
      <c r="B81" s="31" t="s">
        <v>84</v>
      </c>
      <c r="C81" s="32">
        <f>SUM(C82:C85)</f>
        <v>0</v>
      </c>
      <c r="D81" s="32">
        <f>SUM(D82:D85)</f>
        <v>0</v>
      </c>
      <c r="E81" s="34" t="e">
        <f t="shared" si="3"/>
        <v>#DIV/0!</v>
      </c>
      <c r="F81" s="34">
        <f t="shared" si="4"/>
        <v>0</v>
      </c>
    </row>
    <row r="82" spans="1:6" ht="1.5" customHeight="1" x14ac:dyDescent="0.25">
      <c r="A82" s="53">
        <v>1001</v>
      </c>
      <c r="B82" s="54" t="s">
        <v>85</v>
      </c>
      <c r="C82" s="37"/>
      <c r="D82" s="37"/>
      <c r="E82" s="38" t="e">
        <f t="shared" si="3"/>
        <v>#DIV/0!</v>
      </c>
      <c r="F82" s="38">
        <f t="shared" si="4"/>
        <v>0</v>
      </c>
    </row>
    <row r="83" spans="1:6" ht="27" hidden="1" customHeight="1" x14ac:dyDescent="0.25">
      <c r="A83" s="53">
        <v>1003</v>
      </c>
      <c r="B83" s="54" t="s">
        <v>86</v>
      </c>
      <c r="C83" s="37">
        <v>0</v>
      </c>
      <c r="D83" s="37">
        <v>0</v>
      </c>
      <c r="E83" s="38" t="e">
        <f t="shared" si="3"/>
        <v>#DIV/0!</v>
      </c>
      <c r="F83" s="38">
        <f t="shared" si="4"/>
        <v>0</v>
      </c>
    </row>
    <row r="84" spans="1:6" ht="27.75" hidden="1" customHeight="1" x14ac:dyDescent="0.25">
      <c r="A84" s="53">
        <v>1004</v>
      </c>
      <c r="B84" s="54" t="s">
        <v>87</v>
      </c>
      <c r="C84" s="37"/>
      <c r="D84" s="55"/>
      <c r="E84" s="38" t="e">
        <f t="shared" si="3"/>
        <v>#DIV/0!</v>
      </c>
      <c r="F84" s="38">
        <f t="shared" si="4"/>
        <v>0</v>
      </c>
    </row>
    <row r="85" spans="1:6" ht="23.25" hidden="1" customHeight="1" x14ac:dyDescent="0.25">
      <c r="A85" s="35" t="s">
        <v>88</v>
      </c>
      <c r="B85" s="39" t="s">
        <v>89</v>
      </c>
      <c r="C85" s="37">
        <v>0</v>
      </c>
      <c r="D85" s="37">
        <v>0</v>
      </c>
      <c r="E85" s="38"/>
      <c r="F85" s="38">
        <f t="shared" si="4"/>
        <v>0</v>
      </c>
    </row>
    <row r="86" spans="1:6" ht="17.25" customHeight="1" x14ac:dyDescent="0.25">
      <c r="A86" s="30" t="s">
        <v>90</v>
      </c>
      <c r="B86" s="31" t="s">
        <v>91</v>
      </c>
      <c r="C86" s="32">
        <f>C87+C88+C89+C90+C91</f>
        <v>2.5499999999999998</v>
      </c>
      <c r="D86" s="32">
        <f>D87+D88+D89+D90+D91</f>
        <v>2.5499999999999998</v>
      </c>
      <c r="E86" s="38">
        <f t="shared" si="3"/>
        <v>100</v>
      </c>
      <c r="F86" s="22">
        <f>F87+F88+F89+F90+F91</f>
        <v>0</v>
      </c>
    </row>
    <row r="87" spans="1:6" ht="14.25" customHeight="1" x14ac:dyDescent="0.25">
      <c r="A87" s="35" t="s">
        <v>92</v>
      </c>
      <c r="B87" s="39" t="s">
        <v>93</v>
      </c>
      <c r="C87" s="227">
        <v>2.5499999999999998</v>
      </c>
      <c r="D87" s="227">
        <v>2.5499999999999998</v>
      </c>
      <c r="E87" s="38">
        <f t="shared" si="3"/>
        <v>100</v>
      </c>
      <c r="F87" s="38">
        <f>SUM(D87-C87)</f>
        <v>0</v>
      </c>
    </row>
    <row r="88" spans="1:6" ht="15.75" hidden="1" customHeight="1" x14ac:dyDescent="0.25">
      <c r="A88" s="35" t="s">
        <v>94</v>
      </c>
      <c r="B88" s="39" t="s">
        <v>95</v>
      </c>
      <c r="C88" s="227"/>
      <c r="D88" s="227"/>
      <c r="E88" s="38" t="e">
        <f t="shared" si="3"/>
        <v>#DIV/0!</v>
      </c>
      <c r="F88" s="38">
        <f>SUM(D88-C88)</f>
        <v>0</v>
      </c>
    </row>
    <row r="89" spans="1:6" ht="15.75" hidden="1" customHeight="1" x14ac:dyDescent="0.25">
      <c r="A89" s="35" t="s">
        <v>96</v>
      </c>
      <c r="B89" s="39" t="s">
        <v>97</v>
      </c>
      <c r="C89" s="227"/>
      <c r="D89" s="227"/>
      <c r="E89" s="38" t="e">
        <f t="shared" si="3"/>
        <v>#DIV/0!</v>
      </c>
      <c r="F89" s="38"/>
    </row>
    <row r="90" spans="1:6" ht="15.75" hidden="1" customHeight="1" x14ac:dyDescent="0.25">
      <c r="A90" s="35" t="s">
        <v>98</v>
      </c>
      <c r="B90" s="39" t="s">
        <v>99</v>
      </c>
      <c r="C90" s="227"/>
      <c r="D90" s="227"/>
      <c r="E90" s="38" t="e">
        <f t="shared" si="3"/>
        <v>#DIV/0!</v>
      </c>
      <c r="F90" s="38"/>
    </row>
    <row r="91" spans="1:6" ht="15.75" hidden="1" customHeight="1" x14ac:dyDescent="0.25">
      <c r="A91" s="35" t="s">
        <v>100</v>
      </c>
      <c r="B91" s="39" t="s">
        <v>101</v>
      </c>
      <c r="C91" s="227"/>
      <c r="D91" s="227"/>
      <c r="E91" s="38" t="e">
        <f t="shared" si="3"/>
        <v>#DIV/0!</v>
      </c>
      <c r="F91" s="38"/>
    </row>
    <row r="92" spans="1:6" s="6" customFormat="1" ht="16.5" hidden="1" customHeight="1" x14ac:dyDescent="0.25">
      <c r="A92" s="52">
        <v>1400</v>
      </c>
      <c r="B92" s="56" t="s">
        <v>109</v>
      </c>
      <c r="C92" s="228">
        <f>C93+C94+C95</f>
        <v>0</v>
      </c>
      <c r="D92" s="228">
        <f>SUM(D93:D95)</f>
        <v>0</v>
      </c>
      <c r="E92" s="34" t="e">
        <f t="shared" si="3"/>
        <v>#DIV/0!</v>
      </c>
      <c r="F92" s="34">
        <f t="shared" si="4"/>
        <v>0</v>
      </c>
    </row>
    <row r="93" spans="1:6" ht="23.25" hidden="1" customHeight="1" x14ac:dyDescent="0.25">
      <c r="A93" s="53">
        <v>1401</v>
      </c>
      <c r="B93" s="54" t="s">
        <v>110</v>
      </c>
      <c r="C93" s="229"/>
      <c r="D93" s="227"/>
      <c r="E93" s="38" t="e">
        <f t="shared" si="3"/>
        <v>#DIV/0!</v>
      </c>
      <c r="F93" s="38">
        <f t="shared" si="4"/>
        <v>0</v>
      </c>
    </row>
    <row r="94" spans="1:6" ht="19.5" hidden="1" customHeight="1" x14ac:dyDescent="0.25">
      <c r="A94" s="53">
        <v>1402</v>
      </c>
      <c r="B94" s="54" t="s">
        <v>111</v>
      </c>
      <c r="C94" s="229"/>
      <c r="D94" s="227"/>
      <c r="E94" s="38" t="e">
        <f t="shared" si="3"/>
        <v>#DIV/0!</v>
      </c>
      <c r="F94" s="38">
        <f t="shared" si="4"/>
        <v>0</v>
      </c>
    </row>
    <row r="95" spans="1:6" ht="17.25" hidden="1" customHeight="1" x14ac:dyDescent="0.25">
      <c r="A95" s="53">
        <v>1403</v>
      </c>
      <c r="B95" s="54" t="s">
        <v>112</v>
      </c>
      <c r="C95" s="230">
        <v>0</v>
      </c>
      <c r="D95" s="231">
        <v>0</v>
      </c>
      <c r="E95" s="38" t="e">
        <f t="shared" si="3"/>
        <v>#DIV/0!</v>
      </c>
      <c r="F95" s="38">
        <f t="shared" si="4"/>
        <v>0</v>
      </c>
    </row>
    <row r="96" spans="1:6" s="6" customFormat="1" ht="15.75" customHeight="1" x14ac:dyDescent="0.25">
      <c r="A96" s="52"/>
      <c r="B96" s="57" t="s">
        <v>113</v>
      </c>
      <c r="C96" s="371">
        <f>C54+C62+C64+C70+C75+C79+C86</f>
        <v>15025.927579999998</v>
      </c>
      <c r="D96" s="371">
        <f>D54+D62+D64+D70+D75+D79+D86</f>
        <v>13933.535329999999</v>
      </c>
      <c r="E96" s="34">
        <f t="shared" si="3"/>
        <v>92.72995131792058</v>
      </c>
      <c r="F96" s="34">
        <f t="shared" si="4"/>
        <v>-1092.392249999999</v>
      </c>
    </row>
    <row r="97" spans="1:4" ht="16.5" customHeight="1" x14ac:dyDescent="0.25">
      <c r="C97" s="124"/>
      <c r="D97" s="100"/>
    </row>
    <row r="98" spans="1:4" s="111" customFormat="1" ht="20.25" customHeight="1" x14ac:dyDescent="0.25">
      <c r="A98" s="109" t="s">
        <v>114</v>
      </c>
      <c r="B98" s="109"/>
      <c r="C98" s="127"/>
      <c r="D98" s="110"/>
    </row>
    <row r="99" spans="1:4" s="111" customFormat="1" ht="13.5" customHeight="1" x14ac:dyDescent="0.25">
      <c r="A99" s="112" t="s">
        <v>115</v>
      </c>
      <c r="B99" s="112"/>
      <c r="C99" s="116" t="s">
        <v>116</v>
      </c>
    </row>
    <row r="101" spans="1:4" ht="5.25" customHeight="1" x14ac:dyDescent="0.25"/>
  </sheetData>
  <customSheetViews>
    <customSheetView guid="{4D5E6ACC-9055-4DE9-8C20-9052F3C35D19}" scale="70" showPageBreaks="1" hiddenRows="1" state="hidden" view="pageBreakPreview">
      <selection activeCell="F37" sqref="F37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5C539BE6-C8E0-453F-AB5E-9E58094195EA}" scale="70" showPageBreaks="1" hiddenRows="1" view="pageBreakPreview" topLeftCell="A29">
      <selection activeCell="D79" sqref="D79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3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hiddenRows="1" topLeftCell="A31">
      <selection activeCell="H48" sqref="G48:H48"/>
      <pageMargins left="0.7" right="0.7" top="0.75" bottom="0.75" header="0.3" footer="0.3"/>
      <pageSetup paperSize="9" scale="62" orientation="portrait" r:id="rId5"/>
    </customSheetView>
    <customSheetView guid="{B31C8DB7-3E78-4144-A6B5-8DE36DE63F0E}" hiddenRows="1" topLeftCell="A18">
      <selection activeCell="C34" sqref="C34"/>
      <pageMargins left="0.7" right="0.7" top="0.75" bottom="0.75" header="0.3" footer="0.3"/>
      <pageSetup paperSize="9" scale="62" orientation="portrait" r:id="rId6"/>
    </customSheetView>
    <customSheetView guid="{5BFCA170-DEAE-4D2C-98A0-1E68B427AC01}" scale="70" showPageBreaks="1" hiddenRows="1" view="pageBreakPreview" topLeftCell="A28">
      <selection activeCell="I74" sqref="I73:I74"/>
      <pageMargins left="0.7" right="0.7" top="0.75" bottom="0.75" header="0.3" footer="0.3"/>
      <pageSetup paperSize="9" scale="56" orientation="portrait" r:id="rId7"/>
    </customSheetView>
    <customSheetView guid="{B30CE22D-C12F-4E12-8BB9-3AAE0A6991CC}" scale="70" showPageBreaks="1" hiddenRows="1" view="pageBreakPreview" topLeftCell="A3">
      <selection activeCell="D14" sqref="D14"/>
      <pageMargins left="0.70866141732283472" right="0.70866141732283472" top="0.74803149606299213" bottom="0.74803149606299213" header="0.31496062992125984" footer="0.31496062992125984"/>
      <pageSetup paperSize="9" scale="52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64" orientation="portrait" r:id="rId9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10"/>
    </customSheetView>
    <customSheetView guid="{F85EE840-0C31-454A-8951-832C2E9E0600}" scale="70" showPageBreaks="1" hiddenRows="1" state="hidden" view="pageBreakPreview" topLeftCell="A32">
      <selection activeCell="C69" sqref="C69"/>
      <pageMargins left="0.70866141732283472" right="0.70866141732283472" top="0.74803149606299213" bottom="0.74803149606299213" header="0.31496062992125984" footer="0.31496062992125984"/>
      <pageSetup paperSize="9" scale="59" orientation="portrait" r:id="rId11"/>
    </customSheetView>
    <customSheetView guid="{F1E84C44-1ACD-474A-BDE0-C7088DB6C590}" scale="70" showPageBreaks="1" hiddenRows="1" state="hidden" view="pageBreakPreview">
      <selection activeCell="F37" sqref="F37"/>
      <pageMargins left="0.70866141732283472" right="0.70866141732283472" top="0.74803149606299213" bottom="0.74803149606299213" header="0.31496062992125984" footer="0.31496062992125984"/>
      <pageSetup paperSize="9" scale="58" orientation="portrait" r:id="rId12"/>
    </customSheetView>
    <customSheetView guid="{61528DAC-5C4C-48F4-ADE2-8A724B05A086}" scale="70" showPageBreaks="1" hiddenRows="1" state="hidden" view="pageBreakPreview">
      <selection activeCell="F37" sqref="F37"/>
      <pageMargins left="0.70866141732283472" right="0.70866141732283472" top="0.74803149606299213" bottom="0.74803149606299213" header="0.31496062992125984" footer="0.31496062992125984"/>
      <pageSetup paperSize="9" scale="58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F1:AY84"/>
  <sheetViews>
    <sheetView workbookViewId="0">
      <selection activeCell="B100" sqref="B100"/>
    </sheetView>
  </sheetViews>
  <sheetFormatPr defaultRowHeight="12.75" x14ac:dyDescent="0.2"/>
  <sheetData>
    <row r="1" spans="32:51" x14ac:dyDescent="0.2">
      <c r="AJ1" t="s">
        <v>334</v>
      </c>
      <c r="AO1" t="s">
        <v>335</v>
      </c>
      <c r="AP1" t="s">
        <v>336</v>
      </c>
      <c r="AS1" t="s">
        <v>337</v>
      </c>
      <c r="AW1">
        <v>187.4</v>
      </c>
      <c r="AX1" t="s">
        <v>338</v>
      </c>
      <c r="AY1" t="s">
        <v>339</v>
      </c>
    </row>
    <row r="2" spans="32:51" x14ac:dyDescent="0.2">
      <c r="AF2" t="s">
        <v>340</v>
      </c>
      <c r="AJ2" t="s">
        <v>341</v>
      </c>
    </row>
    <row r="3" spans="32:51" x14ac:dyDescent="0.2">
      <c r="AF3" t="s">
        <v>343</v>
      </c>
      <c r="AH3" t="s">
        <v>342</v>
      </c>
      <c r="AJ3" t="s">
        <v>343</v>
      </c>
      <c r="AN3" t="s">
        <v>342</v>
      </c>
      <c r="AO3" t="s">
        <v>342</v>
      </c>
      <c r="AP3" t="s">
        <v>342</v>
      </c>
      <c r="AS3" t="s">
        <v>344</v>
      </c>
      <c r="AT3" t="s">
        <v>345</v>
      </c>
      <c r="AU3" t="s">
        <v>346</v>
      </c>
    </row>
    <row r="4" spans="32:51" x14ac:dyDescent="0.2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347</v>
      </c>
      <c r="AU4" t="s">
        <v>348</v>
      </c>
      <c r="AV4" t="s">
        <v>349</v>
      </c>
    </row>
    <row r="5" spans="32:51" x14ac:dyDescent="0.2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350</v>
      </c>
      <c r="AU5" t="s">
        <v>348</v>
      </c>
      <c r="AV5" t="s">
        <v>351</v>
      </c>
    </row>
    <row r="6" spans="32:51" x14ac:dyDescent="0.2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352</v>
      </c>
      <c r="AU6" t="s">
        <v>348</v>
      </c>
      <c r="AV6" t="s">
        <v>351</v>
      </c>
    </row>
    <row r="7" spans="32:51" x14ac:dyDescent="0.2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353</v>
      </c>
      <c r="AU7" t="s">
        <v>348</v>
      </c>
      <c r="AV7" t="s">
        <v>354</v>
      </c>
      <c r="AX7">
        <v>0.5</v>
      </c>
    </row>
    <row r="8" spans="32:51" x14ac:dyDescent="0.2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355</v>
      </c>
      <c r="AU8" t="s">
        <v>348</v>
      </c>
      <c r="AV8" t="s">
        <v>356</v>
      </c>
    </row>
    <row r="9" spans="32:51" x14ac:dyDescent="0.2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357</v>
      </c>
      <c r="AU9" t="s">
        <v>348</v>
      </c>
      <c r="AV9" t="s">
        <v>358</v>
      </c>
      <c r="AW9" t="s">
        <v>359</v>
      </c>
    </row>
    <row r="10" spans="32:51" x14ac:dyDescent="0.2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360</v>
      </c>
      <c r="AU10" t="s">
        <v>348</v>
      </c>
      <c r="AV10" t="s">
        <v>361</v>
      </c>
    </row>
    <row r="11" spans="32:51" x14ac:dyDescent="0.2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362</v>
      </c>
      <c r="AU11" t="s">
        <v>348</v>
      </c>
      <c r="AV11" t="s">
        <v>363</v>
      </c>
      <c r="AW11" t="s">
        <v>359</v>
      </c>
    </row>
    <row r="12" spans="32:51" x14ac:dyDescent="0.2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364</v>
      </c>
      <c r="AU12" t="s">
        <v>348</v>
      </c>
      <c r="AV12" t="s">
        <v>365</v>
      </c>
    </row>
    <row r="13" spans="32:51" x14ac:dyDescent="0.2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366</v>
      </c>
      <c r="AU13" t="s">
        <v>348</v>
      </c>
      <c r="AV13" t="s">
        <v>367</v>
      </c>
    </row>
    <row r="14" spans="32:51" x14ac:dyDescent="0.2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368</v>
      </c>
      <c r="AU14" t="s">
        <v>348</v>
      </c>
      <c r="AV14" t="s">
        <v>354</v>
      </c>
      <c r="AX14">
        <v>0.35</v>
      </c>
    </row>
    <row r="15" spans="32:51" x14ac:dyDescent="0.2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369</v>
      </c>
      <c r="AU15" t="s">
        <v>348</v>
      </c>
      <c r="AV15" t="s">
        <v>370</v>
      </c>
      <c r="AW15" t="s">
        <v>371</v>
      </c>
    </row>
    <row r="16" spans="32:51" x14ac:dyDescent="0.2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372</v>
      </c>
      <c r="AU16" t="s">
        <v>348</v>
      </c>
      <c r="AV16" t="s">
        <v>351</v>
      </c>
      <c r="AW16" t="s">
        <v>373</v>
      </c>
    </row>
    <row r="17" spans="34:51" x14ac:dyDescent="0.2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374</v>
      </c>
      <c r="AU17" t="s">
        <v>348</v>
      </c>
      <c r="AV17" t="s">
        <v>375</v>
      </c>
      <c r="AX17">
        <v>0.35</v>
      </c>
    </row>
    <row r="18" spans="34:51" x14ac:dyDescent="0.2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376</v>
      </c>
      <c r="AU18" t="s">
        <v>348</v>
      </c>
      <c r="AV18" t="s">
        <v>351</v>
      </c>
      <c r="AX18">
        <v>0.35</v>
      </c>
    </row>
    <row r="19" spans="34:51" x14ac:dyDescent="0.2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377</v>
      </c>
      <c r="AU19" t="s">
        <v>378</v>
      </c>
      <c r="AV19" t="s">
        <v>361</v>
      </c>
    </row>
    <row r="20" spans="34:51" x14ac:dyDescent="0.2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379</v>
      </c>
      <c r="AY20" t="s">
        <v>380</v>
      </c>
    </row>
    <row r="82" hidden="1" x14ac:dyDescent="0.2"/>
    <row r="83" hidden="1" x14ac:dyDescent="0.2"/>
    <row r="84" hidden="1" x14ac:dyDescent="0.2"/>
  </sheetData>
  <customSheetViews>
    <customSheetView guid="{4D5E6ACC-9055-4DE9-8C20-9052F3C35D19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5C539BE6-C8E0-453F-AB5E-9E58094195EA}" hiddenRows="1" state="hidden">
      <selection activeCell="B100" sqref="B100"/>
      <pageMargins left="0.7" right="0.7" top="0.75" bottom="0.75" header="0.3" footer="0.3"/>
      <pageSetup paperSize="9" orientation="portrait" verticalDpi="0" r:id="rId2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3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4"/>
    </customSheetView>
    <customSheetView guid="{B31C8DB7-3E78-4144-A6B5-8DE36DE63F0E}" hiddenRows="1" state="hidden">
      <selection activeCell="B100" sqref="B100"/>
      <pageMargins left="0.7" right="0.7" top="0.75" bottom="0.75" header="0.3" footer="0.3"/>
      <pageSetup paperSize="9" orientation="portrait" r:id="rId5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6"/>
    </customSheetView>
    <customSheetView guid="{B30CE22D-C12F-4E12-8BB9-3AAE0A6991CC}" showPageBreaks="1" hiddenRows="1" state="hidden">
      <selection activeCell="B100" sqref="B100"/>
      <pageMargins left="0.7" right="0.7" top="0.75" bottom="0.75" header="0.3" footer="0.3"/>
      <pageSetup paperSize="9" orientation="portrait" r:id="rId7"/>
    </customSheetView>
    <customSheetView guid="{1718F1EE-9F48-4DBE-9531-3B70F9C4A5DD}" hiddenRows="1" state="hidden">
      <selection activeCell="B100" sqref="B100"/>
      <pageMargins left="0.7" right="0.7" top="0.75" bottom="0.75" header="0.3" footer="0.3"/>
      <pageSetup paperSize="9" orientation="portrait" verticalDpi="0" r:id="rId8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9"/>
    </customSheetView>
    <customSheetView guid="{F85EE840-0C31-454A-8951-832C2E9E0600}" hiddenRows="1" state="hidden">
      <selection activeCell="B100" sqref="B100"/>
      <pageMargins left="0.7" right="0.7" top="0.75" bottom="0.75" header="0.3" footer="0.3"/>
      <pageSetup paperSize="9" orientation="portrait" verticalDpi="0" r:id="rId10"/>
    </customSheetView>
    <customSheetView guid="{F1E84C44-1ACD-474A-BDE0-C7088DB6C590}" hiddenRows="1" state="hidden">
      <selection activeCell="B100" sqref="B100"/>
      <pageMargins left="0.7" right="0.7" top="0.75" bottom="0.75" header="0.3" footer="0.3"/>
      <pageSetup paperSize="9" orientation="portrait" verticalDpi="0" r:id="rId11"/>
    </customSheetView>
    <customSheetView guid="{61528DAC-5C4C-48F4-ADE2-8A724B05A086}" hiddenRows="1" state="hidden">
      <selection activeCell="B100" sqref="B100"/>
      <pageMargins left="0.7" right="0.7" top="0.75" bottom="0.75" header="0.3" footer="0.3"/>
      <pageSetup paperSize="9" orientation="portrait" verticalDpi="0" r:id="rId12"/>
    </customSheetView>
  </customSheetViews>
  <pageMargins left="0.7" right="0.7" top="0.75" bottom="0.75" header="0.3" footer="0.3"/>
  <pageSetup paperSize="9" orientation="portrait" verticalDpi="0" r:id="rId1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2.75" x14ac:dyDescent="0.2"/>
  <sheetData/>
  <customSheetViews>
    <customSheetView guid="{4D5E6ACC-9055-4DE9-8C20-9052F3C35D19}" state="hidden" topLeftCell="A16">
      <pageMargins left="0.7" right="0.7" top="0.75" bottom="0.75" header="0.3" footer="0.3"/>
    </customSheetView>
    <customSheetView guid="{5C539BE6-C8E0-453F-AB5E-9E58094195EA}" state="hidden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1A52382B-3765-4E8C-903F-6B8919B7242E}" topLeftCell="A16">
      <pageMargins left="0.7" right="0.7" top="0.75" bottom="0.75" header="0.3" footer="0.3"/>
    </customSheetView>
    <customSheetView guid="{B31C8DB7-3E78-4144-A6B5-8DE36DE63F0E}" topLeftCell="A16">
      <pageMargins left="0.7" right="0.7" top="0.75" bottom="0.75" header="0.3" footer="0.3"/>
      <pageSetup paperSize="9" orientation="portrait" r:id="rId1"/>
    </customSheetView>
    <customSheetView guid="{5BFCA170-DEAE-4D2C-98A0-1E68B427AC01}" showPageBreaks="1" topLeftCell="A16">
      <pageMargins left="0.7" right="0.7" top="0.75" bottom="0.75" header="0.3" footer="0.3"/>
      <pageSetup paperSize="9" orientation="portrait" r:id="rId2"/>
    </customSheetView>
    <customSheetView guid="{B30CE22D-C12F-4E12-8BB9-3AAE0A6991CC}" showPageBreaks="1" state="hidden" topLeftCell="A16">
      <pageMargins left="0.7" right="0.7" top="0.75" bottom="0.75" header="0.3" footer="0.3"/>
      <pageSetup paperSize="9" orientation="portrait" r:id="rId3"/>
    </customSheetView>
    <customSheetView guid="{1718F1EE-9F48-4DBE-9531-3B70F9C4A5DD}" state="hidden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F85EE840-0C31-454A-8951-832C2E9E0600}" state="hidden" topLeftCell="A16">
      <pageMargins left="0.7" right="0.7" top="0.75" bottom="0.75" header="0.3" footer="0.3"/>
    </customSheetView>
    <customSheetView guid="{F1E84C44-1ACD-474A-BDE0-C7088DB6C590}" state="hidden" topLeftCell="A16">
      <pageMargins left="0.7" right="0.7" top="0.75" bottom="0.75" header="0.3" footer="0.3"/>
    </customSheetView>
    <customSheetView guid="{61528DAC-5C4C-48F4-ADE2-8A724B05A086}" state="hidden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29:L44"/>
  <sheetViews>
    <sheetView workbookViewId="0">
      <selection activeCell="D1" sqref="D1:D1048576"/>
    </sheetView>
  </sheetViews>
  <sheetFormatPr defaultRowHeight="12.75" x14ac:dyDescent="0.2"/>
  <sheetData>
    <row r="29" spans="12:12" ht="18" x14ac:dyDescent="0.2">
      <c r="L29" s="416"/>
    </row>
    <row r="30" spans="12:12" ht="18" x14ac:dyDescent="0.2">
      <c r="L30" s="416"/>
    </row>
    <row r="31" spans="12:12" ht="18" x14ac:dyDescent="0.2">
      <c r="L31" s="416"/>
    </row>
    <row r="32" spans="12:12" ht="18" x14ac:dyDescent="0.2">
      <c r="L32" s="416"/>
    </row>
    <row r="33" spans="12:12" ht="18" x14ac:dyDescent="0.2">
      <c r="L33" s="417"/>
    </row>
    <row r="34" spans="12:12" ht="18" x14ac:dyDescent="0.2">
      <c r="L34" s="416"/>
    </row>
    <row r="35" spans="12:12" ht="18" x14ac:dyDescent="0.2">
      <c r="L35" s="416"/>
    </row>
    <row r="36" spans="12:12" ht="18" x14ac:dyDescent="0.2">
      <c r="L36" s="416"/>
    </row>
    <row r="37" spans="12:12" ht="18" x14ac:dyDescent="0.2">
      <c r="L37" s="417"/>
    </row>
    <row r="38" spans="12:12" ht="18" x14ac:dyDescent="0.2">
      <c r="L38" s="416"/>
    </row>
    <row r="39" spans="12:12" ht="18" x14ac:dyDescent="0.2">
      <c r="L39" s="416"/>
    </row>
    <row r="40" spans="12:12" ht="18" x14ac:dyDescent="0.2">
      <c r="L40" s="417"/>
    </row>
    <row r="41" spans="12:12" ht="18" x14ac:dyDescent="0.2">
      <c r="L41" s="416"/>
    </row>
    <row r="42" spans="12:12" ht="18" x14ac:dyDescent="0.2">
      <c r="L42" s="416"/>
    </row>
    <row r="43" spans="12:12" ht="18" x14ac:dyDescent="0.2">
      <c r="L43" s="416"/>
    </row>
    <row r="44" spans="12:12" ht="18" x14ac:dyDescent="0.2">
      <c r="L44" s="416"/>
    </row>
  </sheetData>
  <customSheetViews>
    <customSheetView guid="{4D5E6ACC-9055-4DE9-8C20-9052F3C35D19}" state="hidden">
      <selection activeCell="D1" sqref="D1:D1048576"/>
      <pageMargins left="0.7" right="0.7" top="0.75" bottom="0.75" header="0.3" footer="0.3"/>
    </customSheetView>
    <customSheetView guid="{5C539BE6-C8E0-453F-AB5E-9E58094195EA}" state="hidden">
      <selection activeCell="F23" sqref="F23"/>
      <pageMargins left="0.7" right="0.7" top="0.75" bottom="0.75" header="0.3" footer="0.3"/>
    </customSheetView>
    <customSheetView guid="{B31C8DB7-3E78-4144-A6B5-8DE36DE63F0E}">
      <selection activeCell="F23" sqref="F23"/>
      <pageMargins left="0.7" right="0.7" top="0.75" bottom="0.75" header="0.3" footer="0.3"/>
    </customSheetView>
    <customSheetView guid="{5BFCA170-DEAE-4D2C-98A0-1E68B427AC01}" showPageBreaks="1">
      <selection activeCell="F23" sqref="F23"/>
      <pageMargins left="0.7" right="0.7" top="0.75" bottom="0.75" header="0.3" footer="0.3"/>
      <pageSetup paperSize="9" orientation="portrait" r:id="rId1"/>
    </customSheetView>
    <customSheetView guid="{B30CE22D-C12F-4E12-8BB9-3AAE0A6991CC}" showPageBreaks="1">
      <selection activeCell="C4" sqref="C4:Q45"/>
      <pageMargins left="0.7" right="0.7" top="0.75" bottom="0.75" header="0.3" footer="0.3"/>
      <pageSetup paperSize="9" orientation="portrait" r:id="rId2"/>
    </customSheetView>
    <customSheetView guid="{1718F1EE-9F48-4DBE-9531-3B70F9C4A5DD}" state="hidden">
      <selection activeCell="D1" sqref="D1:D1048576"/>
      <pageMargins left="0.7" right="0.7" top="0.75" bottom="0.75" header="0.3" footer="0.3"/>
    </customSheetView>
    <customSheetView guid="{3DCB9AAA-F09C-4EA6-B992-F93E466D374A}" state="hidden">
      <selection activeCell="D1" sqref="D1:D1048576"/>
      <pageMargins left="0.7" right="0.7" top="0.75" bottom="0.75" header="0.3" footer="0.3"/>
    </customSheetView>
    <customSheetView guid="{F85EE840-0C31-454A-8951-832C2E9E0600}" state="hidden">
      <selection activeCell="D1" sqref="D1:D1048576"/>
      <pageMargins left="0.7" right="0.7" top="0.75" bottom="0.75" header="0.3" footer="0.3"/>
    </customSheetView>
    <customSheetView guid="{F1E84C44-1ACD-474A-BDE0-C7088DB6C590}" state="hidden">
      <selection activeCell="D1" sqref="D1:D1048576"/>
      <pageMargins left="0.7" right="0.7" top="0.75" bottom="0.75" header="0.3" footer="0.3"/>
    </customSheetView>
    <customSheetView guid="{61528DAC-5C4C-48F4-ADE2-8A724B05A086}" state="hidden">
      <selection activeCell="D1" sqref="D1:D104857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4D5E6ACC-9055-4DE9-8C20-9052F3C35D19}" state="hidden">
      <pageMargins left="0.7" right="0.7" top="0.75" bottom="0.75" header="0.3" footer="0.3"/>
    </customSheetView>
    <customSheetView guid="{5C539BE6-C8E0-453F-AB5E-9E58094195EA}" state="hidden">
      <pageMargins left="0.7" right="0.7" top="0.75" bottom="0.75" header="0.3" footer="0.3"/>
    </customSheetView>
    <customSheetView guid="{B31C8DB7-3E78-4144-A6B5-8DE36DE63F0E}">
      <pageMargins left="0.7" right="0.7" top="0.75" bottom="0.75" header="0.3" footer="0.3"/>
    </customSheetView>
    <customSheetView guid="{5BFCA170-DEAE-4D2C-98A0-1E68B427AC01}" showPageBreaks="1">
      <pageMargins left="0.7" right="0.7" top="0.75" bottom="0.75" header="0.3" footer="0.3"/>
      <pageSetup paperSize="9" orientation="portrait" r:id="rId1"/>
    </customSheetView>
    <customSheetView guid="{B30CE22D-C12F-4E12-8BB9-3AAE0A6991CC}" showPageBreaks="1">
      <pageMargins left="0.7" right="0.7" top="0.75" bottom="0.75" header="0.3" footer="0.3"/>
      <pageSetup paperSize="9" orientation="portrait" r:id="rId2"/>
    </customSheetView>
    <customSheetView guid="{1718F1EE-9F48-4DBE-9531-3B70F9C4A5DD}" state="hidden">
      <pageMargins left="0.7" right="0.7" top="0.75" bottom="0.75" header="0.3" footer="0.3"/>
    </customSheetView>
    <customSheetView guid="{3DCB9AAA-F09C-4EA6-B992-F93E466D374A}" state="hidden">
      <pageMargins left="0.7" right="0.7" top="0.75" bottom="0.75" header="0.3" footer="0.3"/>
    </customSheetView>
    <customSheetView guid="{F85EE840-0C31-454A-8951-832C2E9E0600}" state="hidden">
      <pageMargins left="0.7" right="0.7" top="0.75" bottom="0.75" header="0.3" footer="0.3"/>
    </customSheetView>
    <customSheetView guid="{F1E84C44-1ACD-474A-BDE0-C7088DB6C590}" state="hidden">
      <pageMargins left="0.7" right="0.7" top="0.75" bottom="0.75" header="0.3" footer="0.3"/>
    </customSheetView>
    <customSheetView guid="{61528DAC-5C4C-48F4-ADE2-8A724B05A08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4D5E6ACC-9055-4DE9-8C20-9052F3C35D19}" state="hidden">
      <pageMargins left="0.7" right="0.7" top="0.75" bottom="0.75" header="0.3" footer="0.3"/>
    </customSheetView>
    <customSheetView guid="{F1E84C44-1ACD-474A-BDE0-C7088DB6C590}" state="hidden">
      <pageMargins left="0.7" right="0.7" top="0.75" bottom="0.75" header="0.3" footer="0.3"/>
    </customSheetView>
    <customSheetView guid="{61528DAC-5C4C-48F4-ADE2-8A724B05A08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202"/>
  <sheetViews>
    <sheetView tabSelected="1" view="pageBreakPreview" zoomScale="62" zoomScaleSheetLayoutView="62" workbookViewId="0">
      <selection activeCell="A3" sqref="A3"/>
    </sheetView>
  </sheetViews>
  <sheetFormatPr defaultRowHeight="15.75" x14ac:dyDescent="0.25"/>
  <cols>
    <col min="1" max="1" width="21" style="58" customWidth="1"/>
    <col min="2" max="2" width="83.28515625" style="59" customWidth="1"/>
    <col min="3" max="3" width="31.140625" style="62" customWidth="1"/>
    <col min="4" max="4" width="30.5703125" style="62" customWidth="1"/>
    <col min="5" max="5" width="19.28515625" style="62" customWidth="1"/>
    <col min="6" max="6" width="32.140625" style="62" customWidth="1"/>
    <col min="7" max="7" width="23.42578125" style="62" customWidth="1"/>
    <col min="8" max="8" width="20.7109375" style="1" customWidth="1"/>
    <col min="9" max="9" width="19.140625" style="1" bestFit="1" customWidth="1"/>
    <col min="10" max="16384" width="9.140625" style="1"/>
  </cols>
  <sheetData>
    <row r="1" spans="1:7" ht="22.5" x14ac:dyDescent="0.3">
      <c r="A1" s="427" t="s">
        <v>440</v>
      </c>
      <c r="B1" s="428"/>
      <c r="C1" s="428"/>
      <c r="D1" s="428"/>
      <c r="E1" s="428"/>
      <c r="F1" s="428"/>
      <c r="G1" s="425"/>
    </row>
    <row r="2" spans="1:7" ht="23.25" thickBot="1" x14ac:dyDescent="0.35">
      <c r="A2" s="426" t="s">
        <v>563</v>
      </c>
      <c r="B2" s="428"/>
      <c r="C2" s="428"/>
      <c r="D2" s="428"/>
      <c r="E2" s="428"/>
      <c r="F2" s="428"/>
      <c r="G2" s="425"/>
    </row>
    <row r="3" spans="1:7" ht="23.25" thickBot="1" x14ac:dyDescent="0.35">
      <c r="A3" s="506"/>
      <c r="B3" s="507"/>
      <c r="C3" s="446" t="s">
        <v>552</v>
      </c>
      <c r="D3" s="447"/>
      <c r="E3" s="448"/>
      <c r="F3" s="449" t="s">
        <v>553</v>
      </c>
      <c r="G3" s="450"/>
    </row>
    <row r="4" spans="1:7" ht="71.25" customHeight="1" x14ac:dyDescent="0.25">
      <c r="A4" s="504" t="s">
        <v>441</v>
      </c>
      <c r="B4" s="505" t="s">
        <v>528</v>
      </c>
      <c r="C4" s="495" t="s">
        <v>446</v>
      </c>
      <c r="D4" s="496" t="s">
        <v>561</v>
      </c>
      <c r="E4" s="497" t="s">
        <v>308</v>
      </c>
      <c r="F4" s="495" t="s">
        <v>562</v>
      </c>
      <c r="G4" s="497" t="s">
        <v>448</v>
      </c>
    </row>
    <row r="5" spans="1:7" s="6" customFormat="1" ht="26.25" x14ac:dyDescent="0.3">
      <c r="A5" s="347"/>
      <c r="B5" s="429" t="s">
        <v>4</v>
      </c>
      <c r="C5" s="451">
        <f>C6+C13+C18+C26+C28+C32+C8</f>
        <v>276970.30000000005</v>
      </c>
      <c r="D5" s="452">
        <f>D6+D13+D18+D26+D28+D32+D8</f>
        <v>128121.69220000002</v>
      </c>
      <c r="E5" s="453">
        <f t="shared" ref="E5:E15" si="0">SUM(D5/C5*100)</f>
        <v>46.258278306374365</v>
      </c>
      <c r="F5" s="451">
        <f>SUM(F6+F8+F13+F18+F26+F28+F32)</f>
        <v>87887.701280000023</v>
      </c>
      <c r="G5" s="453">
        <f>SUM(D5/F5*100)</f>
        <v>145.7788636339676</v>
      </c>
    </row>
    <row r="6" spans="1:7" s="6" customFormat="1" ht="26.25" x14ac:dyDescent="0.3">
      <c r="A6" s="347">
        <v>1010000</v>
      </c>
      <c r="B6" s="429" t="s">
        <v>5</v>
      </c>
      <c r="C6" s="451">
        <f>C7</f>
        <v>198179.1</v>
      </c>
      <c r="D6" s="452">
        <f>D7</f>
        <v>90095.05601</v>
      </c>
      <c r="E6" s="453">
        <f t="shared" si="0"/>
        <v>45.461431609084912</v>
      </c>
      <c r="F6" s="451">
        <f>SUM(F7)</f>
        <v>59056.861980000001</v>
      </c>
      <c r="G6" s="453">
        <f t="shared" ref="G6:G72" si="1">SUM(D6/F6*100)</f>
        <v>152.5564565901102</v>
      </c>
    </row>
    <row r="7" spans="1:7" ht="26.25" x14ac:dyDescent="0.3">
      <c r="A7" s="348">
        <v>1010200001</v>
      </c>
      <c r="B7" s="430" t="s">
        <v>220</v>
      </c>
      <c r="C7" s="454">
        <v>198179.1</v>
      </c>
      <c r="D7" s="455">
        <v>90095.05601</v>
      </c>
      <c r="E7" s="453">
        <f t="shared" si="0"/>
        <v>45.461431609084912</v>
      </c>
      <c r="F7" s="455">
        <v>59056.861980000001</v>
      </c>
      <c r="G7" s="453">
        <f t="shared" si="1"/>
        <v>152.5564565901102</v>
      </c>
    </row>
    <row r="8" spans="1:7" ht="40.5" x14ac:dyDescent="0.3">
      <c r="A8" s="347">
        <v>1030000</v>
      </c>
      <c r="B8" s="431" t="s">
        <v>259</v>
      </c>
      <c r="C8" s="451">
        <f>C9+C11+C10</f>
        <v>19878.5</v>
      </c>
      <c r="D8" s="452">
        <f>D9+D11+D10+D12</f>
        <v>9564.151420000002</v>
      </c>
      <c r="E8" s="453">
        <f t="shared" si="0"/>
        <v>48.113043841336129</v>
      </c>
      <c r="F8" s="451">
        <f>SUM(F9+F10+F11+F12)</f>
        <v>9160.7339200000006</v>
      </c>
      <c r="G8" s="453">
        <f t="shared" si="1"/>
        <v>104.40376833912018</v>
      </c>
    </row>
    <row r="9" spans="1:7" ht="26.25" x14ac:dyDescent="0.3">
      <c r="A9" s="348">
        <v>1030223001</v>
      </c>
      <c r="B9" s="430" t="s">
        <v>261</v>
      </c>
      <c r="C9" s="454">
        <v>8500</v>
      </c>
      <c r="D9" s="455">
        <v>4885.5842400000001</v>
      </c>
      <c r="E9" s="453">
        <f t="shared" si="0"/>
        <v>57.477461647058824</v>
      </c>
      <c r="F9" s="455">
        <v>4722.4044599999997</v>
      </c>
      <c r="G9" s="453">
        <f t="shared" si="1"/>
        <v>103.45543846110972</v>
      </c>
    </row>
    <row r="10" spans="1:7" ht="26.25" x14ac:dyDescent="0.3">
      <c r="A10" s="348">
        <v>1030224001</v>
      </c>
      <c r="B10" s="430" t="s">
        <v>267</v>
      </c>
      <c r="C10" s="454">
        <v>58.5</v>
      </c>
      <c r="D10" s="455">
        <v>28.272220000000001</v>
      </c>
      <c r="E10" s="453">
        <f t="shared" si="0"/>
        <v>48.328581196581197</v>
      </c>
      <c r="F10" s="455">
        <v>24.546690000000002</v>
      </c>
      <c r="G10" s="453">
        <f t="shared" si="1"/>
        <v>115.17732126001509</v>
      </c>
    </row>
    <row r="11" spans="1:7" ht="26.25" x14ac:dyDescent="0.3">
      <c r="A11" s="348">
        <v>1030225001</v>
      </c>
      <c r="B11" s="430" t="s">
        <v>260</v>
      </c>
      <c r="C11" s="454">
        <v>11320</v>
      </c>
      <c r="D11" s="455">
        <v>5284.6466600000003</v>
      </c>
      <c r="E11" s="453">
        <f t="shared" si="0"/>
        <v>46.684157773851595</v>
      </c>
      <c r="F11" s="455">
        <v>5002.9981500000004</v>
      </c>
      <c r="G11" s="453">
        <f t="shared" si="1"/>
        <v>105.62959452623424</v>
      </c>
    </row>
    <row r="12" spans="1:7" ht="26.25" x14ac:dyDescent="0.3">
      <c r="A12" s="348">
        <v>1030226001</v>
      </c>
      <c r="B12" s="430" t="s">
        <v>269</v>
      </c>
      <c r="C12" s="454">
        <v>0</v>
      </c>
      <c r="D12" s="455">
        <v>-634.35170000000005</v>
      </c>
      <c r="E12" s="453" t="e">
        <f t="shared" si="0"/>
        <v>#DIV/0!</v>
      </c>
      <c r="F12" s="455">
        <v>-589.21537999999998</v>
      </c>
      <c r="G12" s="453">
        <f t="shared" si="1"/>
        <v>107.66041103679271</v>
      </c>
    </row>
    <row r="13" spans="1:7" s="6" customFormat="1" ht="26.25" x14ac:dyDescent="0.3">
      <c r="A13" s="347">
        <v>1050000</v>
      </c>
      <c r="B13" s="429" t="s">
        <v>6</v>
      </c>
      <c r="C13" s="451">
        <f>SUM(C14:C17)</f>
        <v>26450</v>
      </c>
      <c r="D13" s="452">
        <f>SUM(D14:D17)</f>
        <v>21129.236959999998</v>
      </c>
      <c r="E13" s="453">
        <f t="shared" si="0"/>
        <v>79.883693610586008</v>
      </c>
      <c r="F13" s="451">
        <f>SUM(F14+F15+F16+F17)</f>
        <v>13484.049919999999</v>
      </c>
      <c r="G13" s="453">
        <f t="shared" si="1"/>
        <v>156.69800308778449</v>
      </c>
    </row>
    <row r="14" spans="1:7" s="6" customFormat="1" ht="26.25" x14ac:dyDescent="0.3">
      <c r="A14" s="348">
        <v>1050100000</v>
      </c>
      <c r="B14" s="432" t="s">
        <v>391</v>
      </c>
      <c r="C14" s="454">
        <v>21000</v>
      </c>
      <c r="D14" s="457">
        <v>15809.29315</v>
      </c>
      <c r="E14" s="453">
        <f t="shared" si="0"/>
        <v>75.282348333333331</v>
      </c>
      <c r="F14" s="457">
        <v>10897.30702</v>
      </c>
      <c r="G14" s="453">
        <f t="shared" si="1"/>
        <v>145.07522932945685</v>
      </c>
    </row>
    <row r="15" spans="1:7" ht="26.25" x14ac:dyDescent="0.3">
      <c r="A15" s="348">
        <v>1050200000</v>
      </c>
      <c r="B15" s="432" t="s">
        <v>228</v>
      </c>
      <c r="C15" s="458">
        <v>0</v>
      </c>
      <c r="D15" s="455">
        <v>10.066459999999999</v>
      </c>
      <c r="E15" s="453" t="e">
        <f t="shared" si="0"/>
        <v>#DIV/0!</v>
      </c>
      <c r="F15" s="455">
        <v>-57.604320000000001</v>
      </c>
      <c r="G15" s="453">
        <f t="shared" si="1"/>
        <v>-17.475182416874286</v>
      </c>
    </row>
    <row r="16" spans="1:7" ht="23.25" customHeight="1" x14ac:dyDescent="0.3">
      <c r="A16" s="348">
        <v>1050300000</v>
      </c>
      <c r="B16" s="432" t="s">
        <v>221</v>
      </c>
      <c r="C16" s="458">
        <v>2950</v>
      </c>
      <c r="D16" s="455">
        <v>2995.2733499999999</v>
      </c>
      <c r="E16" s="453">
        <f t="shared" ref="E16:E45" si="2">SUM(D16/C16*100)</f>
        <v>101.53468983050846</v>
      </c>
      <c r="F16" s="455">
        <v>2025.5919899999999</v>
      </c>
      <c r="G16" s="453">
        <f t="shared" si="1"/>
        <v>147.87150446818268</v>
      </c>
    </row>
    <row r="17" spans="1:7" ht="40.5" x14ac:dyDescent="0.3">
      <c r="A17" s="348">
        <v>1050400002</v>
      </c>
      <c r="B17" s="430" t="s">
        <v>249</v>
      </c>
      <c r="C17" s="458">
        <v>2500</v>
      </c>
      <c r="D17" s="455">
        <v>2314.6039999999998</v>
      </c>
      <c r="E17" s="453">
        <f t="shared" si="2"/>
        <v>92.584159999999997</v>
      </c>
      <c r="F17" s="455">
        <v>618.75522999999998</v>
      </c>
      <c r="G17" s="453">
        <f t="shared" si="1"/>
        <v>374.0742522693505</v>
      </c>
    </row>
    <row r="18" spans="1:7" s="6" customFormat="1" ht="24" customHeight="1" x14ac:dyDescent="0.3">
      <c r="A18" s="347">
        <v>1060000</v>
      </c>
      <c r="B18" s="429" t="s">
        <v>129</v>
      </c>
      <c r="C18" s="451">
        <f>SUM(C20+C23+C19)</f>
        <v>27252.7</v>
      </c>
      <c r="D18" s="451">
        <f>SUM(D20+D23+D19)</f>
        <v>5588.6523500000003</v>
      </c>
      <c r="E18" s="453">
        <f t="shared" si="2"/>
        <v>20.506784098456301</v>
      </c>
      <c r="F18" s="451">
        <f>SUM(F19+F20+F23)</f>
        <v>5838.6290900000004</v>
      </c>
      <c r="G18" s="453">
        <f t="shared" si="1"/>
        <v>95.718571326475541</v>
      </c>
    </row>
    <row r="19" spans="1:7" s="6" customFormat="1" ht="18" customHeight="1" x14ac:dyDescent="0.3">
      <c r="A19" s="348">
        <v>1060100000</v>
      </c>
      <c r="B19" s="432" t="s">
        <v>8</v>
      </c>
      <c r="C19" s="454">
        <v>7500</v>
      </c>
      <c r="D19" s="455">
        <v>1142.11581</v>
      </c>
      <c r="E19" s="453">
        <f t="shared" si="2"/>
        <v>15.228210799999999</v>
      </c>
      <c r="F19" s="455">
        <v>578.08606999999995</v>
      </c>
      <c r="G19" s="453">
        <f t="shared" si="1"/>
        <v>197.56847107559608</v>
      </c>
    </row>
    <row r="20" spans="1:7" s="6" customFormat="1" ht="21.75" customHeight="1" x14ac:dyDescent="0.3">
      <c r="A20" s="348">
        <v>1060400000</v>
      </c>
      <c r="B20" s="429" t="s">
        <v>462</v>
      </c>
      <c r="C20" s="454">
        <f>SUM(C22+C21)</f>
        <v>2952.7</v>
      </c>
      <c r="D20" s="454">
        <f>SUM(D22+D21)</f>
        <v>445.41374000000002</v>
      </c>
      <c r="E20" s="453">
        <f t="shared" si="2"/>
        <v>15.084964269990181</v>
      </c>
      <c r="F20" s="455">
        <v>418.45087000000001</v>
      </c>
      <c r="G20" s="453">
        <f t="shared" si="1"/>
        <v>106.44349717805581</v>
      </c>
    </row>
    <row r="21" spans="1:7" s="6" customFormat="1" ht="21.75" customHeight="1" x14ac:dyDescent="0.3">
      <c r="A21" s="348"/>
      <c r="B21" s="510" t="s">
        <v>460</v>
      </c>
      <c r="C21" s="454">
        <v>300</v>
      </c>
      <c r="D21" s="455">
        <v>117.64011000000001</v>
      </c>
      <c r="E21" s="453">
        <f t="shared" si="2"/>
        <v>39.213370000000005</v>
      </c>
      <c r="F21" s="455">
        <v>198.79891000000001</v>
      </c>
      <c r="G21" s="453">
        <f t="shared" si="1"/>
        <v>59.175430086613659</v>
      </c>
    </row>
    <row r="22" spans="1:7" s="6" customFormat="1" ht="21.75" customHeight="1" x14ac:dyDescent="0.3">
      <c r="A22" s="348"/>
      <c r="B22" s="510" t="s">
        <v>461</v>
      </c>
      <c r="C22" s="454">
        <v>2652.7</v>
      </c>
      <c r="D22" s="455">
        <v>327.77363000000003</v>
      </c>
      <c r="E22" s="453">
        <f t="shared" si="2"/>
        <v>12.356226863195991</v>
      </c>
      <c r="F22" s="455">
        <v>219.65196</v>
      </c>
      <c r="G22" s="453">
        <f t="shared" si="1"/>
        <v>149.22408614063812</v>
      </c>
    </row>
    <row r="23" spans="1:7" ht="31.5" customHeight="1" x14ac:dyDescent="0.3">
      <c r="A23" s="348">
        <v>1060600000</v>
      </c>
      <c r="B23" s="429" t="s">
        <v>449</v>
      </c>
      <c r="C23" s="454">
        <f>SUM(C24:C25)</f>
        <v>16800</v>
      </c>
      <c r="D23" s="455">
        <f>SUM(D24:D25)</f>
        <v>4001.1228000000001</v>
      </c>
      <c r="E23" s="453">
        <f t="shared" si="2"/>
        <v>23.816207142857142</v>
      </c>
      <c r="F23" s="455">
        <v>4842.0921500000004</v>
      </c>
      <c r="G23" s="453">
        <f t="shared" si="1"/>
        <v>82.632107693365555</v>
      </c>
    </row>
    <row r="24" spans="1:7" ht="31.5" customHeight="1" x14ac:dyDescent="0.3">
      <c r="A24" s="348"/>
      <c r="B24" s="510" t="s">
        <v>554</v>
      </c>
      <c r="C24" s="454">
        <v>4300</v>
      </c>
      <c r="D24" s="455">
        <v>2950.7244599999999</v>
      </c>
      <c r="E24" s="453">
        <f t="shared" si="2"/>
        <v>68.621499069767438</v>
      </c>
      <c r="F24" s="455">
        <v>4376.9396800000004</v>
      </c>
      <c r="G24" s="453">
        <f t="shared" si="1"/>
        <v>67.415241600953465</v>
      </c>
    </row>
    <row r="25" spans="1:7" ht="31.5" customHeight="1" x14ac:dyDescent="0.3">
      <c r="A25" s="348"/>
      <c r="B25" s="510" t="s">
        <v>463</v>
      </c>
      <c r="C25" s="454">
        <v>12500</v>
      </c>
      <c r="D25" s="455">
        <v>1050.39834</v>
      </c>
      <c r="E25" s="453">
        <f t="shared" si="2"/>
        <v>8.4031867200000008</v>
      </c>
      <c r="F25" s="455">
        <v>465.15246999999999</v>
      </c>
      <c r="G25" s="453">
        <f t="shared" si="1"/>
        <v>225.81807208290218</v>
      </c>
    </row>
    <row r="26" spans="1:7" s="6" customFormat="1" ht="42" customHeight="1" x14ac:dyDescent="0.3">
      <c r="A26" s="347">
        <v>1070000</v>
      </c>
      <c r="B26" s="431" t="s">
        <v>9</v>
      </c>
      <c r="C26" s="451">
        <f>SUM(C27)</f>
        <v>2300</v>
      </c>
      <c r="D26" s="511">
        <f>SUM(D27)</f>
        <v>212.964</v>
      </c>
      <c r="E26" s="453">
        <f t="shared" si="2"/>
        <v>9.2593043478260881</v>
      </c>
      <c r="F26" s="451">
        <f>SUM(F27)</f>
        <v>-600.10126000000002</v>
      </c>
      <c r="G26" s="453">
        <f t="shared" si="1"/>
        <v>-35.488010806709518</v>
      </c>
    </row>
    <row r="27" spans="1:7" ht="36.75" customHeight="1" x14ac:dyDescent="0.3">
      <c r="A27" s="348">
        <v>1070102001</v>
      </c>
      <c r="B27" s="430" t="s">
        <v>229</v>
      </c>
      <c r="C27" s="454">
        <v>2300</v>
      </c>
      <c r="D27" s="455">
        <v>212.964</v>
      </c>
      <c r="E27" s="453">
        <f t="shared" si="2"/>
        <v>9.2593043478260881</v>
      </c>
      <c r="F27" s="455">
        <v>-600.10126000000002</v>
      </c>
      <c r="G27" s="453">
        <f t="shared" si="1"/>
        <v>-35.488010806709518</v>
      </c>
    </row>
    <row r="28" spans="1:7" s="6" customFormat="1" ht="26.25" x14ac:dyDescent="0.3">
      <c r="A28" s="347">
        <v>1080000</v>
      </c>
      <c r="B28" s="429" t="s">
        <v>10</v>
      </c>
      <c r="C28" s="451">
        <f>C29+C30+C31</f>
        <v>2910</v>
      </c>
      <c r="D28" s="452">
        <f>D29+D30+D31</f>
        <v>1531.6314600000001</v>
      </c>
      <c r="E28" s="453">
        <f t="shared" si="2"/>
        <v>52.63338350515464</v>
      </c>
      <c r="F28" s="451">
        <f>SUM(F29+F30)</f>
        <v>947.58873999999992</v>
      </c>
      <c r="G28" s="453">
        <f t="shared" si="1"/>
        <v>161.63462009901048</v>
      </c>
    </row>
    <row r="29" spans="1:7" ht="27" customHeight="1" x14ac:dyDescent="0.3">
      <c r="A29" s="348">
        <v>1080300001</v>
      </c>
      <c r="B29" s="430" t="s">
        <v>230</v>
      </c>
      <c r="C29" s="454">
        <v>2910</v>
      </c>
      <c r="D29" s="455">
        <v>1512.50146</v>
      </c>
      <c r="E29" s="453">
        <f t="shared" si="2"/>
        <v>51.975995189003434</v>
      </c>
      <c r="F29" s="455">
        <v>926.30873999999994</v>
      </c>
      <c r="G29" s="453">
        <f t="shared" si="1"/>
        <v>163.28265023171434</v>
      </c>
    </row>
    <row r="30" spans="1:7" ht="24" customHeight="1" x14ac:dyDescent="0.3">
      <c r="A30" s="348">
        <v>1080400001</v>
      </c>
      <c r="B30" s="430" t="s">
        <v>219</v>
      </c>
      <c r="C30" s="454">
        <v>0</v>
      </c>
      <c r="D30" s="455">
        <v>19.13</v>
      </c>
      <c r="E30" s="453" t="e">
        <f t="shared" si="2"/>
        <v>#DIV/0!</v>
      </c>
      <c r="F30" s="455">
        <v>21.28</v>
      </c>
      <c r="G30" s="453">
        <f t="shared" si="1"/>
        <v>89.896616541353367</v>
      </c>
    </row>
    <row r="31" spans="1:7" ht="54.75" customHeight="1" x14ac:dyDescent="0.3">
      <c r="A31" s="348">
        <v>1080700001</v>
      </c>
      <c r="B31" s="430" t="s">
        <v>445</v>
      </c>
      <c r="C31" s="454">
        <v>0</v>
      </c>
      <c r="D31" s="455"/>
      <c r="E31" s="453"/>
      <c r="F31" s="455"/>
      <c r="G31" s="453"/>
    </row>
    <row r="32" spans="1:7" s="15" customFormat="1" ht="40.5" x14ac:dyDescent="0.3">
      <c r="A32" s="347">
        <v>109000000</v>
      </c>
      <c r="B32" s="431" t="s">
        <v>222</v>
      </c>
      <c r="C32" s="451">
        <f>C33+C34+C35+C36</f>
        <v>0</v>
      </c>
      <c r="D32" s="452">
        <f>D33+D34+D35+D36</f>
        <v>0</v>
      </c>
      <c r="E32" s="453"/>
      <c r="F32" s="451">
        <f>SUM(F33:F35)</f>
        <v>-6.1109999999999998E-2</v>
      </c>
      <c r="G32" s="453"/>
    </row>
    <row r="33" spans="1:7" s="15" customFormat="1" ht="17.25" customHeight="1" x14ac:dyDescent="0.3">
      <c r="A33" s="348">
        <v>1090100000</v>
      </c>
      <c r="B33" s="430" t="s">
        <v>118</v>
      </c>
      <c r="C33" s="454">
        <v>0</v>
      </c>
      <c r="D33" s="455">
        <v>0</v>
      </c>
      <c r="E33" s="453"/>
      <c r="F33" s="455">
        <v>0</v>
      </c>
      <c r="G33" s="453"/>
    </row>
    <row r="34" spans="1:7" s="15" customFormat="1" ht="17.25" customHeight="1" x14ac:dyDescent="0.3">
      <c r="A34" s="348">
        <v>1090400000</v>
      </c>
      <c r="B34" s="430" t="s">
        <v>224</v>
      </c>
      <c r="C34" s="454">
        <v>0</v>
      </c>
      <c r="D34" s="455">
        <v>0</v>
      </c>
      <c r="E34" s="453"/>
      <c r="F34" s="455">
        <v>0</v>
      </c>
      <c r="G34" s="453"/>
    </row>
    <row r="35" spans="1:7" s="15" customFormat="1" ht="36.75" customHeight="1" x14ac:dyDescent="0.3">
      <c r="A35" s="348">
        <v>1090700000</v>
      </c>
      <c r="B35" s="430" t="s">
        <v>429</v>
      </c>
      <c r="C35" s="454">
        <v>0</v>
      </c>
      <c r="D35" s="455"/>
      <c r="E35" s="453"/>
      <c r="F35" s="455">
        <v>-6.1109999999999998E-2</v>
      </c>
      <c r="G35" s="453"/>
    </row>
    <row r="36" spans="1:7" s="15" customFormat="1" ht="1.5" customHeight="1" x14ac:dyDescent="0.3">
      <c r="A36" s="348">
        <v>1090700000</v>
      </c>
      <c r="B36" s="430" t="s">
        <v>121</v>
      </c>
      <c r="C36" s="454">
        <v>0</v>
      </c>
      <c r="D36" s="455">
        <v>0</v>
      </c>
      <c r="E36" s="453" t="e">
        <f t="shared" si="2"/>
        <v>#DIV/0!</v>
      </c>
      <c r="F36" s="456">
        <v>0</v>
      </c>
      <c r="G36" s="453" t="e">
        <f t="shared" si="1"/>
        <v>#DIV/0!</v>
      </c>
    </row>
    <row r="37" spans="1:7" s="6" customFormat="1" ht="33.75" customHeight="1" x14ac:dyDescent="0.3">
      <c r="A37" s="347"/>
      <c r="B37" s="429" t="s">
        <v>12</v>
      </c>
      <c r="C37" s="451">
        <f>C38+C48+C50+C53+C57+C59+C65</f>
        <v>51240.812449999998</v>
      </c>
      <c r="D37" s="452">
        <f>D38+D48+D50+D53+D57+D59+D65</f>
        <v>22102.200729999997</v>
      </c>
      <c r="E37" s="453">
        <f t="shared" si="2"/>
        <v>43.133977923490164</v>
      </c>
      <c r="F37" s="451">
        <f>F38+F48+F50+F53+F57+F59+F65</f>
        <v>21901.192210000001</v>
      </c>
      <c r="G37" s="453">
        <f t="shared" si="1"/>
        <v>100.91779715949991</v>
      </c>
    </row>
    <row r="38" spans="1:7" s="6" customFormat="1" ht="42.75" customHeight="1" x14ac:dyDescent="0.3">
      <c r="A38" s="347">
        <v>1110000</v>
      </c>
      <c r="B38" s="431" t="s">
        <v>122</v>
      </c>
      <c r="C38" s="451">
        <f>SUM(C39:C47)</f>
        <v>12720</v>
      </c>
      <c r="D38" s="452">
        <f>SUM(D39+D41+D43+D45+D46+D47+D42+D44)</f>
        <v>5830.4639200000001</v>
      </c>
      <c r="E38" s="453">
        <f t="shared" si="2"/>
        <v>45.836980503144652</v>
      </c>
      <c r="F38" s="451">
        <f>SUM(F39:F47)</f>
        <v>6340.3558299999995</v>
      </c>
      <c r="G38" s="453">
        <f t="shared" si="1"/>
        <v>91.957992206251319</v>
      </c>
    </row>
    <row r="39" spans="1:7" s="6" customFormat="1" ht="34.5" customHeight="1" x14ac:dyDescent="0.3">
      <c r="A39" s="348">
        <v>1110100000</v>
      </c>
      <c r="B39" s="430" t="s">
        <v>298</v>
      </c>
      <c r="C39" s="454">
        <v>0</v>
      </c>
      <c r="D39" s="457">
        <v>0</v>
      </c>
      <c r="E39" s="453"/>
      <c r="F39" s="457">
        <v>0</v>
      </c>
      <c r="G39" s="453" t="e">
        <f t="shared" si="1"/>
        <v>#DIV/0!</v>
      </c>
    </row>
    <row r="40" spans="1:7" ht="21" customHeight="1" x14ac:dyDescent="0.3">
      <c r="A40" s="348">
        <v>1110305005</v>
      </c>
      <c r="B40" s="432" t="s">
        <v>231</v>
      </c>
      <c r="C40" s="454">
        <v>0</v>
      </c>
      <c r="D40" s="455">
        <v>0</v>
      </c>
      <c r="E40" s="453"/>
      <c r="F40" s="455">
        <v>0</v>
      </c>
      <c r="G40" s="453"/>
    </row>
    <row r="41" spans="1:7" ht="26.25" x14ac:dyDescent="0.3">
      <c r="A41" s="349">
        <v>1110501000</v>
      </c>
      <c r="B41" s="433" t="s">
        <v>217</v>
      </c>
      <c r="C41" s="458">
        <v>8500</v>
      </c>
      <c r="D41" s="455">
        <v>4079.9551799999999</v>
      </c>
      <c r="E41" s="453">
        <f t="shared" si="2"/>
        <v>47.999472705882354</v>
      </c>
      <c r="F41" s="455">
        <v>5054.7255100000002</v>
      </c>
      <c r="G41" s="453">
        <f t="shared" si="1"/>
        <v>80.71566244157934</v>
      </c>
    </row>
    <row r="42" spans="1:7" ht="44.25" customHeight="1" x14ac:dyDescent="0.3">
      <c r="A42" s="349">
        <v>1110502000</v>
      </c>
      <c r="B42" s="434" t="s">
        <v>433</v>
      </c>
      <c r="C42" s="458">
        <v>2000</v>
      </c>
      <c r="D42" s="455">
        <v>527.75018</v>
      </c>
      <c r="E42" s="453">
        <f t="shared" si="2"/>
        <v>26.387508999999998</v>
      </c>
      <c r="F42" s="455">
        <v>530.78998000000001</v>
      </c>
      <c r="G42" s="453">
        <f t="shared" si="1"/>
        <v>99.427306446139013</v>
      </c>
    </row>
    <row r="43" spans="1:7" ht="25.5" customHeight="1" x14ac:dyDescent="0.3">
      <c r="A43" s="348">
        <v>1110503505</v>
      </c>
      <c r="B43" s="432" t="s">
        <v>216</v>
      </c>
      <c r="C43" s="458">
        <v>520</v>
      </c>
      <c r="D43" s="455">
        <v>178.31476000000001</v>
      </c>
      <c r="E43" s="453">
        <f t="shared" si="2"/>
        <v>34.2913</v>
      </c>
      <c r="F43" s="455">
        <v>206.26721000000001</v>
      </c>
      <c r="G43" s="453">
        <f t="shared" si="1"/>
        <v>86.448427745738172</v>
      </c>
    </row>
    <row r="44" spans="1:7" ht="37.5" customHeight="1" x14ac:dyDescent="0.3">
      <c r="A44" s="348">
        <v>1110530000</v>
      </c>
      <c r="B44" s="430" t="s">
        <v>447</v>
      </c>
      <c r="C44" s="459">
        <v>0</v>
      </c>
      <c r="D44" s="455"/>
      <c r="E44" s="453"/>
      <c r="F44" s="455">
        <v>2.8300000000000001E-3</v>
      </c>
      <c r="G44" s="453"/>
    </row>
    <row r="45" spans="1:7" s="15" customFormat="1" ht="26.25" x14ac:dyDescent="0.3">
      <c r="A45" s="348">
        <v>1110701505</v>
      </c>
      <c r="B45" s="432" t="s">
        <v>232</v>
      </c>
      <c r="C45" s="458">
        <v>600</v>
      </c>
      <c r="D45" s="455">
        <v>602.41399999999999</v>
      </c>
      <c r="E45" s="453">
        <f t="shared" si="2"/>
        <v>100.40233333333333</v>
      </c>
      <c r="F45" s="455">
        <v>261.95400000000001</v>
      </c>
      <c r="G45" s="453">
        <f t="shared" si="1"/>
        <v>229.9693839376379</v>
      </c>
    </row>
    <row r="46" spans="1:7" s="15" customFormat="1" ht="26.25" x14ac:dyDescent="0.3">
      <c r="A46" s="348">
        <v>1110903000</v>
      </c>
      <c r="B46" s="432" t="s">
        <v>382</v>
      </c>
      <c r="C46" s="458">
        <v>0</v>
      </c>
      <c r="D46" s="455">
        <v>0</v>
      </c>
      <c r="E46" s="453"/>
      <c r="F46" s="455">
        <v>0</v>
      </c>
      <c r="G46" s="453"/>
    </row>
    <row r="47" spans="1:7" s="15" customFormat="1" ht="26.25" x14ac:dyDescent="0.3">
      <c r="A47" s="348">
        <v>1110904414</v>
      </c>
      <c r="B47" s="432" t="s">
        <v>309</v>
      </c>
      <c r="C47" s="458">
        <v>1100</v>
      </c>
      <c r="D47" s="455">
        <v>442.02980000000002</v>
      </c>
      <c r="E47" s="453">
        <f>SUM(D47/C47*100)</f>
        <v>40.18452727272728</v>
      </c>
      <c r="F47" s="455">
        <v>286.61630000000002</v>
      </c>
      <c r="G47" s="453">
        <f t="shared" si="1"/>
        <v>154.22353857753379</v>
      </c>
    </row>
    <row r="48" spans="1:7" s="15" customFormat="1" ht="40.5" x14ac:dyDescent="0.3">
      <c r="A48" s="347">
        <v>1120000</v>
      </c>
      <c r="B48" s="431" t="s">
        <v>123</v>
      </c>
      <c r="C48" s="460">
        <f>C49</f>
        <v>1100</v>
      </c>
      <c r="D48" s="547">
        <f>D49</f>
        <v>1168.9928</v>
      </c>
      <c r="E48" s="453">
        <f>SUM(D48/C48*100)</f>
        <v>106.27207272727273</v>
      </c>
      <c r="F48" s="460">
        <f>SUM(F49)</f>
        <v>310.84913</v>
      </c>
      <c r="G48" s="453">
        <f t="shared" si="1"/>
        <v>376.06436279876351</v>
      </c>
    </row>
    <row r="49" spans="1:9" s="15" customFormat="1" ht="26.25" x14ac:dyDescent="0.3">
      <c r="A49" s="348">
        <v>1120100001</v>
      </c>
      <c r="B49" s="430" t="s">
        <v>233</v>
      </c>
      <c r="C49" s="454">
        <v>1100</v>
      </c>
      <c r="D49" s="455">
        <v>1168.9928</v>
      </c>
      <c r="E49" s="453">
        <f>SUM(D49/C49*100)</f>
        <v>106.27207272727273</v>
      </c>
      <c r="F49" s="455">
        <v>310.84913</v>
      </c>
      <c r="G49" s="453">
        <f t="shared" si="1"/>
        <v>376.06436279876351</v>
      </c>
    </row>
    <row r="50" spans="1:9" s="182" customFormat="1" ht="21.75" customHeight="1" x14ac:dyDescent="0.3">
      <c r="A50" s="350">
        <v>1130000</v>
      </c>
      <c r="B50" s="435" t="s">
        <v>124</v>
      </c>
      <c r="C50" s="451">
        <f>C51+C52</f>
        <v>5426.9</v>
      </c>
      <c r="D50" s="452">
        <f>D51+D52</f>
        <v>1106.7274399999999</v>
      </c>
      <c r="E50" s="453">
        <f>SUM(D50/C50*100)</f>
        <v>20.393363430319333</v>
      </c>
      <c r="F50" s="451">
        <f>SUM(F51:F52)</f>
        <v>292.84267999999997</v>
      </c>
      <c r="G50" s="453">
        <f t="shared" si="1"/>
        <v>377.92559472546827</v>
      </c>
    </row>
    <row r="51" spans="1:9" s="15" customFormat="1" ht="20.25" customHeight="1" x14ac:dyDescent="0.3">
      <c r="A51" s="348">
        <v>1130200000</v>
      </c>
      <c r="B51" s="430" t="s">
        <v>307</v>
      </c>
      <c r="C51" s="454">
        <v>4726.8999999999996</v>
      </c>
      <c r="D51" s="457">
        <v>230.87443999999999</v>
      </c>
      <c r="E51" s="453">
        <f>SUM(D51/C51*100)</f>
        <v>4.8842674903213528</v>
      </c>
      <c r="F51" s="457">
        <v>292.84267999999997</v>
      </c>
      <c r="G51" s="453">
        <f t="shared" si="1"/>
        <v>78.839068130369526</v>
      </c>
    </row>
    <row r="52" spans="1:9" ht="25.5" customHeight="1" x14ac:dyDescent="0.3">
      <c r="A52" s="348">
        <v>1130100000</v>
      </c>
      <c r="B52" s="430" t="s">
        <v>215</v>
      </c>
      <c r="C52" s="454">
        <v>700</v>
      </c>
      <c r="D52" s="455">
        <v>875.85299999999995</v>
      </c>
      <c r="E52" s="453"/>
      <c r="F52" s="455">
        <v>0</v>
      </c>
      <c r="G52" s="453"/>
    </row>
    <row r="53" spans="1:9" ht="20.25" customHeight="1" x14ac:dyDescent="0.25">
      <c r="A53" s="351">
        <v>1140000</v>
      </c>
      <c r="B53" s="436" t="s">
        <v>125</v>
      </c>
      <c r="C53" s="451">
        <f>C54+C55+C56</f>
        <v>12000</v>
      </c>
      <c r="D53" s="451">
        <f>D54+D55+D56</f>
        <v>4004.9476900000004</v>
      </c>
      <c r="E53" s="453">
        <f t="shared" ref="E53:E65" si="3">SUM(D53/C53*100)</f>
        <v>33.374564083333333</v>
      </c>
      <c r="F53" s="451">
        <f>F54+F55+F56</f>
        <v>6485.0517600000003</v>
      </c>
      <c r="G53" s="453">
        <f t="shared" si="1"/>
        <v>61.75660331198344</v>
      </c>
    </row>
    <row r="54" spans="1:9" ht="26.25" x14ac:dyDescent="0.3">
      <c r="A54" s="349">
        <v>1140200000</v>
      </c>
      <c r="B54" s="434" t="s">
        <v>213</v>
      </c>
      <c r="C54" s="454">
        <v>2000</v>
      </c>
      <c r="D54" s="455">
        <v>673.52894000000003</v>
      </c>
      <c r="E54" s="453">
        <f t="shared" si="3"/>
        <v>33.676447000000003</v>
      </c>
      <c r="F54" s="455">
        <v>0</v>
      </c>
      <c r="G54" s="453" t="e">
        <f t="shared" si="1"/>
        <v>#DIV/0!</v>
      </c>
    </row>
    <row r="55" spans="1:9" ht="40.5" customHeight="1" x14ac:dyDescent="0.3">
      <c r="A55" s="348">
        <v>1140601000</v>
      </c>
      <c r="B55" s="430" t="s">
        <v>533</v>
      </c>
      <c r="C55" s="454">
        <v>9700</v>
      </c>
      <c r="D55" s="455">
        <v>3236.6263100000001</v>
      </c>
      <c r="E55" s="453">
        <f t="shared" si="3"/>
        <v>33.367281546391752</v>
      </c>
      <c r="F55" s="455">
        <v>6309.3524900000002</v>
      </c>
      <c r="G55" s="453">
        <f t="shared" si="1"/>
        <v>51.298866486376959</v>
      </c>
    </row>
    <row r="56" spans="1:9" ht="33.75" customHeight="1" x14ac:dyDescent="0.3">
      <c r="A56" s="348">
        <v>1140602000</v>
      </c>
      <c r="B56" s="430" t="s">
        <v>534</v>
      </c>
      <c r="C56" s="454">
        <v>300</v>
      </c>
      <c r="D56" s="455">
        <v>94.792439999999999</v>
      </c>
      <c r="E56" s="453">
        <f t="shared" si="3"/>
        <v>31.597480000000001</v>
      </c>
      <c r="F56" s="455">
        <v>175.69927000000001</v>
      </c>
      <c r="G56" s="453">
        <f t="shared" si="1"/>
        <v>53.951527516306697</v>
      </c>
    </row>
    <row r="57" spans="1:9" ht="28.5" customHeight="1" x14ac:dyDescent="0.3">
      <c r="A57" s="347">
        <v>1150000000</v>
      </c>
      <c r="B57" s="431" t="s">
        <v>226</v>
      </c>
      <c r="C57" s="451">
        <f>C58</f>
        <v>0</v>
      </c>
      <c r="D57" s="452">
        <f>D58</f>
        <v>0</v>
      </c>
      <c r="E57" s="453"/>
      <c r="F57" s="451">
        <f>F58</f>
        <v>0</v>
      </c>
      <c r="G57" s="453"/>
    </row>
    <row r="58" spans="1:9" ht="37.5" customHeight="1" x14ac:dyDescent="0.3">
      <c r="A58" s="348">
        <v>1150205005</v>
      </c>
      <c r="B58" s="430" t="s">
        <v>227</v>
      </c>
      <c r="C58" s="454">
        <v>0</v>
      </c>
      <c r="D58" s="455">
        <v>0</v>
      </c>
      <c r="E58" s="453"/>
      <c r="F58" s="456">
        <v>0</v>
      </c>
      <c r="G58" s="453"/>
    </row>
    <row r="59" spans="1:9" ht="26.25" x14ac:dyDescent="0.3">
      <c r="A59" s="347">
        <v>1160000</v>
      </c>
      <c r="B59" s="431" t="s">
        <v>127</v>
      </c>
      <c r="C59" s="451">
        <f>SUM(C60:C64)</f>
        <v>4650</v>
      </c>
      <c r="D59" s="452">
        <f>SUM(D60:D64)</f>
        <v>3950.5909700000002</v>
      </c>
      <c r="E59" s="453">
        <f t="shared" si="3"/>
        <v>84.95894559139785</v>
      </c>
      <c r="F59" s="451">
        <f>SUM(F60:F64)</f>
        <v>906.10879999999997</v>
      </c>
      <c r="G59" s="453">
        <f t="shared" si="1"/>
        <v>435.99521050893674</v>
      </c>
      <c r="I59" s="147"/>
    </row>
    <row r="60" spans="1:9" ht="36.75" customHeight="1" x14ac:dyDescent="0.3">
      <c r="A60" s="348">
        <v>1160100001</v>
      </c>
      <c r="B60" s="430" t="s">
        <v>434</v>
      </c>
      <c r="C60" s="454">
        <v>1514</v>
      </c>
      <c r="D60" s="461">
        <v>573.60688000000005</v>
      </c>
      <c r="E60" s="453">
        <f t="shared" si="3"/>
        <v>37.886848084544255</v>
      </c>
      <c r="F60" s="461">
        <v>422.60908999999998</v>
      </c>
      <c r="G60" s="453">
        <f t="shared" si="1"/>
        <v>135.72989639195882</v>
      </c>
    </row>
    <row r="61" spans="1:9" ht="39.75" customHeight="1" x14ac:dyDescent="0.3">
      <c r="A61" s="348">
        <v>1160700000</v>
      </c>
      <c r="B61" s="430" t="s">
        <v>435</v>
      </c>
      <c r="C61" s="454">
        <v>2952</v>
      </c>
      <c r="D61" s="462">
        <v>2634.6850899999999</v>
      </c>
      <c r="E61" s="453">
        <f t="shared" si="3"/>
        <v>89.250849932249324</v>
      </c>
      <c r="F61" s="462">
        <v>76.755750000000006</v>
      </c>
      <c r="G61" s="453">
        <f t="shared" si="1"/>
        <v>3432.5572872390667</v>
      </c>
    </row>
    <row r="62" spans="1:9" ht="39.75" customHeight="1" x14ac:dyDescent="0.3">
      <c r="A62" s="348">
        <v>11610060000</v>
      </c>
      <c r="B62" s="430" t="s">
        <v>464</v>
      </c>
      <c r="C62" s="454">
        <v>20</v>
      </c>
      <c r="D62" s="462">
        <v>0</v>
      </c>
      <c r="E62" s="453"/>
      <c r="F62" s="462">
        <v>13.24455</v>
      </c>
      <c r="G62" s="453"/>
    </row>
    <row r="63" spans="1:9" ht="41.25" customHeight="1" x14ac:dyDescent="0.3">
      <c r="A63" s="348">
        <v>1161012000</v>
      </c>
      <c r="B63" s="430" t="s">
        <v>392</v>
      </c>
      <c r="C63" s="463">
        <v>4</v>
      </c>
      <c r="D63" s="462"/>
      <c r="E63" s="453">
        <f t="shared" si="3"/>
        <v>0</v>
      </c>
      <c r="F63" s="462">
        <v>4.0999999999999999E-4</v>
      </c>
      <c r="G63" s="453">
        <f t="shared" si="1"/>
        <v>0</v>
      </c>
    </row>
    <row r="64" spans="1:9" ht="41.25" customHeight="1" x14ac:dyDescent="0.3">
      <c r="A64" s="348">
        <v>1161100001</v>
      </c>
      <c r="B64" s="430" t="s">
        <v>393</v>
      </c>
      <c r="C64" s="463">
        <v>160</v>
      </c>
      <c r="D64" s="462">
        <v>742.29899999999998</v>
      </c>
      <c r="E64" s="453">
        <f t="shared" si="3"/>
        <v>463.93687499999999</v>
      </c>
      <c r="F64" s="462">
        <v>393.49900000000002</v>
      </c>
      <c r="G64" s="453"/>
    </row>
    <row r="65" spans="1:9" ht="25.5" customHeight="1" x14ac:dyDescent="0.3">
      <c r="A65" s="347">
        <v>1170000</v>
      </c>
      <c r="B65" s="431" t="s">
        <v>128</v>
      </c>
      <c r="C65" s="451">
        <f>C66+C67</f>
        <v>15343.91245</v>
      </c>
      <c r="D65" s="452">
        <f>D66+D67</f>
        <v>6040.4779099999996</v>
      </c>
      <c r="E65" s="453">
        <f t="shared" si="3"/>
        <v>39.367260010663053</v>
      </c>
      <c r="F65" s="451">
        <f>F66+F67</f>
        <v>7565.9840100000001</v>
      </c>
      <c r="G65" s="453"/>
    </row>
    <row r="66" spans="1:9" ht="26.25" x14ac:dyDescent="0.3">
      <c r="A66" s="348">
        <v>1170100000</v>
      </c>
      <c r="B66" s="430" t="s">
        <v>15</v>
      </c>
      <c r="C66" s="454">
        <v>0</v>
      </c>
      <c r="D66" s="457">
        <v>278.07082000000003</v>
      </c>
      <c r="E66" s="453"/>
      <c r="F66" s="457">
        <v>24.968219999999999</v>
      </c>
      <c r="G66" s="453"/>
    </row>
    <row r="67" spans="1:9" ht="26.25" x14ac:dyDescent="0.3">
      <c r="A67" s="348">
        <v>1171500000</v>
      </c>
      <c r="B67" s="432" t="s">
        <v>406</v>
      </c>
      <c r="C67" s="454">
        <v>15343.91245</v>
      </c>
      <c r="D67" s="455">
        <v>5762.4070899999997</v>
      </c>
      <c r="E67" s="453">
        <f>SUM(D67/C67*100)</f>
        <v>37.555005014382751</v>
      </c>
      <c r="F67" s="455">
        <v>7541.0157900000004</v>
      </c>
      <c r="G67" s="453"/>
    </row>
    <row r="68" spans="1:9" s="6" customFormat="1" ht="26.25" x14ac:dyDescent="0.3">
      <c r="A68" s="347">
        <v>100000</v>
      </c>
      <c r="B68" s="429" t="s">
        <v>16</v>
      </c>
      <c r="C68" s="553">
        <f>SUM(C5,C37)</f>
        <v>328211.11245000002</v>
      </c>
      <c r="D68" s="465">
        <f>SUM(D5,D37)</f>
        <v>150223.89293000003</v>
      </c>
      <c r="E68" s="453">
        <f>SUM(D68/C68*100)</f>
        <v>45.770507832176243</v>
      </c>
      <c r="F68" s="464">
        <f>SUM(F5+F37)</f>
        <v>109788.89349000002</v>
      </c>
      <c r="G68" s="453">
        <f t="shared" si="1"/>
        <v>136.82977226078245</v>
      </c>
      <c r="H68" s="93"/>
      <c r="I68" s="93"/>
    </row>
    <row r="69" spans="1:9" s="6" customFormat="1" ht="28.5" customHeight="1" x14ac:dyDescent="0.3">
      <c r="A69" s="347">
        <v>200000</v>
      </c>
      <c r="B69" s="429" t="s">
        <v>17</v>
      </c>
      <c r="C69" s="451">
        <f>C70+C72+C73+C74+C77+C71+C76</f>
        <v>922402.69900999998</v>
      </c>
      <c r="D69" s="452">
        <f>SUM(D70+D71+D72+D73+D74+D75+D76+D77)</f>
        <v>487937.26622999995</v>
      </c>
      <c r="E69" s="453">
        <f>SUM(D69/C69*100)</f>
        <v>52.898508076103333</v>
      </c>
      <c r="F69" s="451">
        <f>SUM(F70+F72+F73+F74+F75+F76+F77)</f>
        <v>420726.33509000001</v>
      </c>
      <c r="G69" s="453">
        <f t="shared" si="1"/>
        <v>115.97497601989247</v>
      </c>
      <c r="H69" s="93"/>
      <c r="I69" s="93"/>
    </row>
    <row r="70" spans="1:9" ht="25.5" customHeight="1" x14ac:dyDescent="0.3">
      <c r="A70" s="349">
        <v>2021000000</v>
      </c>
      <c r="B70" s="433" t="s">
        <v>18</v>
      </c>
      <c r="C70" s="458">
        <v>125473.8</v>
      </c>
      <c r="D70" s="466">
        <v>62737.2</v>
      </c>
      <c r="E70" s="453">
        <f>SUM(D70/C70*100)</f>
        <v>50.000239093739083</v>
      </c>
      <c r="F70" s="466">
        <v>74900.600000000006</v>
      </c>
      <c r="G70" s="453">
        <f t="shared" si="1"/>
        <v>83.760610729420051</v>
      </c>
    </row>
    <row r="71" spans="1:9" ht="18.75" customHeight="1" x14ac:dyDescent="0.3">
      <c r="A71" s="349">
        <v>2021500200</v>
      </c>
      <c r="B71" s="433" t="s">
        <v>223</v>
      </c>
      <c r="C71" s="458"/>
      <c r="D71" s="466"/>
      <c r="E71" s="453"/>
      <c r="F71" s="466"/>
      <c r="G71" s="453"/>
    </row>
    <row r="72" spans="1:9" ht="26.25" x14ac:dyDescent="0.3">
      <c r="A72" s="349">
        <v>2022000000</v>
      </c>
      <c r="B72" s="433" t="s">
        <v>19</v>
      </c>
      <c r="C72" s="458">
        <v>239001.00396999999</v>
      </c>
      <c r="D72" s="455">
        <v>88964.73272</v>
      </c>
      <c r="E72" s="453">
        <f>SUM(D72/C72*100)</f>
        <v>37.223581174231001</v>
      </c>
      <c r="F72" s="455">
        <v>75471.834640000001</v>
      </c>
      <c r="G72" s="453">
        <f t="shared" si="1"/>
        <v>117.87805761495133</v>
      </c>
    </row>
    <row r="73" spans="1:9" ht="26.25" x14ac:dyDescent="0.3">
      <c r="A73" s="349">
        <v>2023000000</v>
      </c>
      <c r="B73" s="433" t="s">
        <v>20</v>
      </c>
      <c r="C73" s="458">
        <v>518595.16600000003</v>
      </c>
      <c r="D73" s="467">
        <v>312801.72000999999</v>
      </c>
      <c r="E73" s="453">
        <f>SUM(D73/C73*100)</f>
        <v>60.317129915167776</v>
      </c>
      <c r="F73" s="467">
        <v>260846.26592999999</v>
      </c>
      <c r="G73" s="453">
        <f>G82</f>
        <v>128.03768896576315</v>
      </c>
    </row>
    <row r="74" spans="1:9" ht="16.5" customHeight="1" x14ac:dyDescent="0.3">
      <c r="A74" s="349">
        <v>2024000000</v>
      </c>
      <c r="B74" s="434" t="s">
        <v>21</v>
      </c>
      <c r="C74" s="458">
        <v>39332.729039999998</v>
      </c>
      <c r="D74" s="468">
        <v>23933.88553</v>
      </c>
      <c r="E74" s="453">
        <f>SUM(D74/C74*100)</f>
        <v>60.849796376091994</v>
      </c>
      <c r="F74" s="468">
        <v>17046.5661</v>
      </c>
      <c r="G74" s="453"/>
    </row>
    <row r="75" spans="1:9" ht="18" customHeight="1" x14ac:dyDescent="0.3">
      <c r="A75" s="349">
        <v>207000000</v>
      </c>
      <c r="B75" s="434" t="s">
        <v>281</v>
      </c>
      <c r="C75" s="458"/>
      <c r="D75" s="468"/>
      <c r="E75" s="453"/>
      <c r="F75" s="468"/>
      <c r="G75" s="453"/>
    </row>
    <row r="76" spans="1:9" ht="24" customHeight="1" x14ac:dyDescent="0.3">
      <c r="A76" s="349">
        <v>208000000</v>
      </c>
      <c r="B76" s="434" t="s">
        <v>560</v>
      </c>
      <c r="C76" s="458">
        <v>0</v>
      </c>
      <c r="D76" s="468"/>
      <c r="E76" s="453"/>
      <c r="F76" s="468">
        <v>0</v>
      </c>
      <c r="G76" s="453"/>
    </row>
    <row r="77" spans="1:9" ht="23.25" customHeight="1" x14ac:dyDescent="0.3">
      <c r="A77" s="348">
        <v>2196001005</v>
      </c>
      <c r="B77" s="432" t="s">
        <v>23</v>
      </c>
      <c r="C77" s="456"/>
      <c r="D77" s="455">
        <v>-500.27202999999997</v>
      </c>
      <c r="E77" s="453"/>
      <c r="F77" s="455">
        <v>-7538.9315800000004</v>
      </c>
      <c r="G77" s="453">
        <f t="shared" ref="G77:G78" si="4">SUM(D77/F77*100)</f>
        <v>6.6358478610837839</v>
      </c>
    </row>
    <row r="78" spans="1:9" s="6" customFormat="1" ht="22.5" customHeight="1" x14ac:dyDescent="0.3">
      <c r="A78" s="347"/>
      <c r="B78" s="429" t="s">
        <v>25</v>
      </c>
      <c r="C78" s="469">
        <f>C68+C69</f>
        <v>1250613.81146</v>
      </c>
      <c r="D78" s="551">
        <f>D68+D69</f>
        <v>638161.15916000004</v>
      </c>
      <c r="E78" s="453">
        <f>SUM(D78/C78*100)</f>
        <v>51.027835556605098</v>
      </c>
      <c r="F78" s="469">
        <f>F68+F69</f>
        <v>530515.22858</v>
      </c>
      <c r="G78" s="453">
        <f t="shared" si="4"/>
        <v>120.29082762961013</v>
      </c>
      <c r="H78" s="205"/>
      <c r="I78" s="93"/>
    </row>
    <row r="79" spans="1:9" s="6" customFormat="1" ht="26.25" x14ac:dyDescent="0.3">
      <c r="A79" s="347"/>
      <c r="B79" s="437" t="s">
        <v>299</v>
      </c>
      <c r="C79" s="552">
        <f>C78-C199</f>
        <v>-119544.17782999994</v>
      </c>
      <c r="D79" s="452">
        <f>D78-D199</f>
        <v>16557.562320000026</v>
      </c>
      <c r="E79" s="470"/>
      <c r="F79" s="451">
        <f>F78-F199</f>
        <v>42307.68531000003</v>
      </c>
      <c r="G79" s="470"/>
      <c r="H79" s="93"/>
      <c r="I79" s="93"/>
    </row>
    <row r="80" spans="1:9" ht="26.25" x14ac:dyDescent="0.3">
      <c r="A80" s="352"/>
      <c r="B80" s="438"/>
      <c r="C80" s="471"/>
      <c r="D80" s="472"/>
      <c r="E80" s="473"/>
      <c r="F80" s="474"/>
      <c r="G80" s="473"/>
    </row>
    <row r="81" spans="1:7" ht="60.75" x14ac:dyDescent="0.25">
      <c r="A81" s="498" t="s">
        <v>442</v>
      </c>
      <c r="B81" s="499" t="s">
        <v>443</v>
      </c>
      <c r="C81" s="495" t="s">
        <v>446</v>
      </c>
      <c r="D81" s="501" t="s">
        <v>561</v>
      </c>
      <c r="E81" s="502" t="s">
        <v>308</v>
      </c>
      <c r="F81" s="500" t="s">
        <v>562</v>
      </c>
      <c r="G81" s="502" t="s">
        <v>448</v>
      </c>
    </row>
    <row r="82" spans="1:7" s="6" customFormat="1" ht="22.5" customHeight="1" x14ac:dyDescent="0.4">
      <c r="A82" s="353" t="s">
        <v>27</v>
      </c>
      <c r="B82" s="439" t="s">
        <v>28</v>
      </c>
      <c r="C82" s="475">
        <f>SUM(C83+C84+C85+C86+C87+C88+C89)</f>
        <v>129013.20727000001</v>
      </c>
      <c r="D82" s="476">
        <f>SUM(D83:D89)</f>
        <v>56318.981009999989</v>
      </c>
      <c r="E82" s="477">
        <f t="shared" ref="E82:E154" si="5">SUM(D82/C82*100)</f>
        <v>43.653655468106543</v>
      </c>
      <c r="F82" s="475">
        <f>SUM(F83:F89)</f>
        <v>43986.252379999998</v>
      </c>
      <c r="G82" s="477">
        <f>SUM(D82/F82*100)</f>
        <v>128.03768896576315</v>
      </c>
    </row>
    <row r="83" spans="1:7" s="6" customFormat="1" ht="42" x14ac:dyDescent="0.4">
      <c r="A83" s="354" t="s">
        <v>29</v>
      </c>
      <c r="B83" s="440" t="s">
        <v>30</v>
      </c>
      <c r="C83" s="478">
        <v>50</v>
      </c>
      <c r="D83" s="479">
        <v>2.4632999999999998</v>
      </c>
      <c r="E83" s="477">
        <f t="shared" si="5"/>
        <v>4.9265999999999996</v>
      </c>
      <c r="F83" s="479">
        <v>2.3258999999999999</v>
      </c>
      <c r="G83" s="477">
        <f t="shared" ref="G83:G199" si="6">SUM(D83/F83*100)</f>
        <v>105.90739068747581</v>
      </c>
    </row>
    <row r="84" spans="1:7" ht="21.75" customHeight="1" x14ac:dyDescent="0.4">
      <c r="A84" s="354" t="s">
        <v>31</v>
      </c>
      <c r="B84" s="441" t="s">
        <v>32</v>
      </c>
      <c r="C84" s="478">
        <v>73245.393880000003</v>
      </c>
      <c r="D84" s="479">
        <v>32028.96846</v>
      </c>
      <c r="E84" s="477">
        <f t="shared" si="5"/>
        <v>43.728303942871769</v>
      </c>
      <c r="F84" s="479">
        <v>26816.901610000001</v>
      </c>
      <c r="G84" s="477">
        <f t="shared" si="6"/>
        <v>119.43575333869451</v>
      </c>
    </row>
    <row r="85" spans="1:7" ht="19.5" customHeight="1" x14ac:dyDescent="0.4">
      <c r="A85" s="354" t="s">
        <v>33</v>
      </c>
      <c r="B85" s="441" t="s">
        <v>34</v>
      </c>
      <c r="C85" s="478">
        <v>8.1</v>
      </c>
      <c r="D85" s="479">
        <v>8.1</v>
      </c>
      <c r="E85" s="477">
        <f t="shared" si="5"/>
        <v>100</v>
      </c>
      <c r="F85" s="479">
        <v>0</v>
      </c>
      <c r="G85" s="477" t="e">
        <f t="shared" si="6"/>
        <v>#DIV/0!</v>
      </c>
    </row>
    <row r="86" spans="1:7" ht="38.25" customHeight="1" x14ac:dyDescent="0.4">
      <c r="A86" s="354" t="s">
        <v>35</v>
      </c>
      <c r="B86" s="441" t="s">
        <v>36</v>
      </c>
      <c r="C86" s="480">
        <v>8014.7</v>
      </c>
      <c r="D86" s="481">
        <v>3585.26055</v>
      </c>
      <c r="E86" s="477">
        <f t="shared" si="5"/>
        <v>44.733558960410249</v>
      </c>
      <c r="F86" s="481">
        <v>3290.3609799999999</v>
      </c>
      <c r="G86" s="477">
        <f t="shared" si="6"/>
        <v>108.96252939396334</v>
      </c>
    </row>
    <row r="87" spans="1:7" ht="25.5" customHeight="1" x14ac:dyDescent="0.4">
      <c r="A87" s="354" t="s">
        <v>37</v>
      </c>
      <c r="B87" s="441" t="s">
        <v>38</v>
      </c>
      <c r="C87" s="478">
        <v>304.68099999999998</v>
      </c>
      <c r="D87" s="479">
        <v>304.68099999999998</v>
      </c>
      <c r="E87" s="477">
        <f t="shared" si="5"/>
        <v>100</v>
      </c>
      <c r="F87" s="479">
        <v>370.565</v>
      </c>
      <c r="G87" s="477">
        <f t="shared" si="6"/>
        <v>82.220663041571655</v>
      </c>
    </row>
    <row r="88" spans="1:7" ht="24.75" customHeight="1" x14ac:dyDescent="0.4">
      <c r="A88" s="354" t="s">
        <v>39</v>
      </c>
      <c r="B88" s="441" t="s">
        <v>40</v>
      </c>
      <c r="C88" s="480">
        <v>4067.6288300000001</v>
      </c>
      <c r="D88" s="481"/>
      <c r="E88" s="477">
        <f t="shared" si="5"/>
        <v>0</v>
      </c>
      <c r="F88" s="481">
        <v>0</v>
      </c>
      <c r="G88" s="477"/>
    </row>
    <row r="89" spans="1:7" ht="24" customHeight="1" x14ac:dyDescent="0.4">
      <c r="A89" s="354" t="s">
        <v>41</v>
      </c>
      <c r="B89" s="441" t="s">
        <v>42</v>
      </c>
      <c r="C89" s="478">
        <v>43322.703560000002</v>
      </c>
      <c r="D89" s="479">
        <v>20389.507699999998</v>
      </c>
      <c r="E89" s="477">
        <f t="shared" si="5"/>
        <v>47.064255054538421</v>
      </c>
      <c r="F89" s="479">
        <v>13506.098889999999</v>
      </c>
      <c r="G89" s="477">
        <f t="shared" si="6"/>
        <v>150.96518888290177</v>
      </c>
    </row>
    <row r="90" spans="1:7" ht="49.5" customHeight="1" x14ac:dyDescent="0.4">
      <c r="A90" s="529" t="s">
        <v>501</v>
      </c>
      <c r="B90" s="520" t="s">
        <v>502</v>
      </c>
      <c r="C90" s="525">
        <v>1290.0785599999999</v>
      </c>
      <c r="D90" s="526">
        <v>0</v>
      </c>
      <c r="E90" s="477">
        <f t="shared" si="5"/>
        <v>0</v>
      </c>
      <c r="F90" s="478"/>
      <c r="G90" s="477"/>
    </row>
    <row r="91" spans="1:7" s="6" customFormat="1" ht="26.25" x14ac:dyDescent="0.4">
      <c r="A91" s="355" t="s">
        <v>43</v>
      </c>
      <c r="B91" s="442" t="s">
        <v>44</v>
      </c>
      <c r="C91" s="475">
        <f>C92</f>
        <v>2135.3000000000002</v>
      </c>
      <c r="D91" s="476">
        <f>D92</f>
        <v>906.47619999999995</v>
      </c>
      <c r="E91" s="477">
        <f t="shared" si="5"/>
        <v>42.451936496042705</v>
      </c>
      <c r="F91" s="475">
        <f>SUM(F92)</f>
        <v>838.61649</v>
      </c>
      <c r="G91" s="477">
        <f t="shared" si="6"/>
        <v>108.09186449457964</v>
      </c>
    </row>
    <row r="92" spans="1:7" ht="26.25" x14ac:dyDescent="0.4">
      <c r="A92" s="356" t="s">
        <v>45</v>
      </c>
      <c r="B92" s="443" t="s">
        <v>555</v>
      </c>
      <c r="C92" s="478">
        <v>2135.3000000000002</v>
      </c>
      <c r="D92" s="479">
        <v>906.47619999999995</v>
      </c>
      <c r="E92" s="477">
        <f t="shared" si="5"/>
        <v>42.451936496042705</v>
      </c>
      <c r="F92" s="479">
        <v>838.61649</v>
      </c>
      <c r="G92" s="477">
        <f t="shared" si="6"/>
        <v>108.09186449457964</v>
      </c>
    </row>
    <row r="93" spans="1:7" s="6" customFormat="1" ht="21" customHeight="1" x14ac:dyDescent="0.4">
      <c r="A93" s="353" t="s">
        <v>47</v>
      </c>
      <c r="B93" s="439" t="s">
        <v>48</v>
      </c>
      <c r="C93" s="475">
        <f>SUM(C94:C97)</f>
        <v>31448.592789999999</v>
      </c>
      <c r="D93" s="476">
        <f>SUM(D94:D97)</f>
        <v>2781.9590499999999</v>
      </c>
      <c r="E93" s="477">
        <f t="shared" si="5"/>
        <v>8.8460525676831097</v>
      </c>
      <c r="F93" s="475">
        <f>SUM(F94:F97)</f>
        <v>2239.7800700000003</v>
      </c>
      <c r="G93" s="477">
        <f t="shared" si="6"/>
        <v>124.20679544666184</v>
      </c>
    </row>
    <row r="94" spans="1:7" ht="26.25" x14ac:dyDescent="0.4">
      <c r="A94" s="357" t="s">
        <v>51</v>
      </c>
      <c r="B94" s="441" t="s">
        <v>304</v>
      </c>
      <c r="C94" s="478">
        <v>1486.4</v>
      </c>
      <c r="D94" s="479">
        <v>700.92</v>
      </c>
      <c r="E94" s="477">
        <f t="shared" si="5"/>
        <v>47.155543595263723</v>
      </c>
      <c r="F94" s="479">
        <v>641.26499999999999</v>
      </c>
      <c r="G94" s="477">
        <f t="shared" si="6"/>
        <v>109.30270636944164</v>
      </c>
    </row>
    <row r="95" spans="1:7" ht="36.75" customHeight="1" x14ac:dyDescent="0.4">
      <c r="A95" s="358" t="s">
        <v>53</v>
      </c>
      <c r="B95" s="444" t="s">
        <v>54</v>
      </c>
      <c r="C95" s="478">
        <v>3398.1</v>
      </c>
      <c r="D95" s="479">
        <v>1699.87499</v>
      </c>
      <c r="E95" s="477">
        <f t="shared" si="5"/>
        <v>50.024277978870543</v>
      </c>
      <c r="F95" s="479">
        <v>1490.9807800000001</v>
      </c>
      <c r="G95" s="477">
        <f t="shared" si="6"/>
        <v>114.01052332814108</v>
      </c>
    </row>
    <row r="96" spans="1:7" ht="21" customHeight="1" x14ac:dyDescent="0.4">
      <c r="A96" s="358" t="s">
        <v>210</v>
      </c>
      <c r="B96" s="444" t="s">
        <v>211</v>
      </c>
      <c r="C96" s="478">
        <v>24614.092789999999</v>
      </c>
      <c r="D96" s="479">
        <v>38.417879999999997</v>
      </c>
      <c r="E96" s="477">
        <f t="shared" si="5"/>
        <v>0.15608082868529721</v>
      </c>
      <c r="F96" s="479">
        <v>28.734290000000001</v>
      </c>
      <c r="G96" s="477">
        <f t="shared" si="6"/>
        <v>133.70046728142577</v>
      </c>
    </row>
    <row r="97" spans="1:8" ht="27" customHeight="1" x14ac:dyDescent="0.4">
      <c r="A97" s="358" t="s">
        <v>330</v>
      </c>
      <c r="B97" s="444" t="s">
        <v>331</v>
      </c>
      <c r="C97" s="482">
        <v>1950</v>
      </c>
      <c r="D97" s="479">
        <v>342.74617999999998</v>
      </c>
      <c r="E97" s="477">
        <f t="shared" si="5"/>
        <v>17.576727179487179</v>
      </c>
      <c r="F97" s="479">
        <v>78.8</v>
      </c>
      <c r="G97" s="477">
        <f t="shared" si="6"/>
        <v>434.95708121827414</v>
      </c>
    </row>
    <row r="98" spans="1:8" s="6" customFormat="1" ht="27" customHeight="1" x14ac:dyDescent="0.4">
      <c r="A98" s="353" t="s">
        <v>55</v>
      </c>
      <c r="B98" s="439" t="s">
        <v>56</v>
      </c>
      <c r="C98" s="483">
        <f>SUM(C99+C101+C105+C106+C116)</f>
        <v>162279.97465999998</v>
      </c>
      <c r="D98" s="484">
        <f>SUM(D99+D101+D105+D106+D116)</f>
        <v>43673.623870000003</v>
      </c>
      <c r="E98" s="477">
        <f t="shared" si="5"/>
        <v>26.912515830435989</v>
      </c>
      <c r="F98" s="483">
        <f>SUM(F99+F101+F105+F106+F116)</f>
        <v>22592.802960000001</v>
      </c>
      <c r="G98" s="477">
        <f t="shared" si="6"/>
        <v>193.30768274889607</v>
      </c>
    </row>
    <row r="99" spans="1:8" ht="27" customHeight="1" x14ac:dyDescent="0.4">
      <c r="A99" s="353" t="s">
        <v>387</v>
      </c>
      <c r="B99" s="534" t="s">
        <v>388</v>
      </c>
      <c r="C99" s="485">
        <v>250</v>
      </c>
      <c r="D99" s="486">
        <v>174.84</v>
      </c>
      <c r="E99" s="477">
        <f t="shared" si="5"/>
        <v>69.935999999999993</v>
      </c>
      <c r="F99" s="486">
        <v>155.1</v>
      </c>
      <c r="G99" s="477">
        <f t="shared" si="6"/>
        <v>112.72727272727275</v>
      </c>
    </row>
    <row r="100" spans="1:8" ht="68.25" customHeight="1" x14ac:dyDescent="0.4">
      <c r="A100" s="354"/>
      <c r="B100" s="523" t="s">
        <v>493</v>
      </c>
      <c r="C100" s="545">
        <v>250</v>
      </c>
      <c r="D100" s="546">
        <v>174.84</v>
      </c>
      <c r="E100" s="477">
        <f t="shared" si="5"/>
        <v>69.935999999999993</v>
      </c>
      <c r="F100" s="487">
        <v>155.1</v>
      </c>
      <c r="G100" s="477">
        <f t="shared" si="6"/>
        <v>112.72727272727275</v>
      </c>
    </row>
    <row r="101" spans="1:8" s="6" customFormat="1" ht="20.25" customHeight="1" x14ac:dyDescent="0.4">
      <c r="A101" s="353" t="s">
        <v>57</v>
      </c>
      <c r="B101" s="533" t="s">
        <v>302</v>
      </c>
      <c r="C101" s="487">
        <v>1115.53405</v>
      </c>
      <c r="D101" s="481">
        <v>13.95</v>
      </c>
      <c r="E101" s="477">
        <f t="shared" si="5"/>
        <v>1.2505221153939676</v>
      </c>
      <c r="F101" s="479">
        <v>132.9897</v>
      </c>
      <c r="G101" s="477">
        <f t="shared" si="6"/>
        <v>10.489534151892965</v>
      </c>
      <c r="H101" s="50"/>
    </row>
    <row r="102" spans="1:8" s="6" customFormat="1" ht="63.75" customHeight="1" x14ac:dyDescent="0.4">
      <c r="A102" s="509" t="s">
        <v>505</v>
      </c>
      <c r="B102" s="520" t="s">
        <v>532</v>
      </c>
      <c r="C102" s="487">
        <v>527.20000000000005</v>
      </c>
      <c r="D102" s="481">
        <v>13.95</v>
      </c>
      <c r="E102" s="477">
        <f t="shared" si="5"/>
        <v>2.646054628224582</v>
      </c>
      <c r="F102" s="478">
        <v>132.9897</v>
      </c>
      <c r="G102" s="477">
        <f t="shared" si="6"/>
        <v>10.489534151892965</v>
      </c>
      <c r="H102" s="50"/>
    </row>
    <row r="103" spans="1:8" s="6" customFormat="1" ht="40.5" customHeight="1" x14ac:dyDescent="0.4">
      <c r="A103" s="509" t="s">
        <v>505</v>
      </c>
      <c r="B103" s="520" t="s">
        <v>503</v>
      </c>
      <c r="C103" s="487">
        <v>427.7</v>
      </c>
      <c r="D103" s="481">
        <v>0</v>
      </c>
      <c r="E103" s="477">
        <f t="shared" si="5"/>
        <v>0</v>
      </c>
      <c r="F103" s="478"/>
      <c r="G103" s="477"/>
      <c r="H103" s="50"/>
    </row>
    <row r="104" spans="1:8" s="6" customFormat="1" ht="38.25" customHeight="1" x14ac:dyDescent="0.4">
      <c r="A104" s="509" t="s">
        <v>505</v>
      </c>
      <c r="B104" s="520" t="s">
        <v>504</v>
      </c>
      <c r="C104" s="487">
        <v>160.63405</v>
      </c>
      <c r="D104" s="481">
        <v>0</v>
      </c>
      <c r="E104" s="477">
        <f t="shared" si="5"/>
        <v>0</v>
      </c>
      <c r="F104" s="478"/>
      <c r="G104" s="477"/>
      <c r="H104" s="50"/>
    </row>
    <row r="105" spans="1:8" s="6" customFormat="1" ht="20.25" customHeight="1" x14ac:dyDescent="0.4">
      <c r="A105" s="354" t="s">
        <v>59</v>
      </c>
      <c r="B105" s="533" t="s">
        <v>383</v>
      </c>
      <c r="C105" s="485">
        <v>1423.8727799999999</v>
      </c>
      <c r="D105" s="479">
        <v>0</v>
      </c>
      <c r="E105" s="477">
        <f t="shared" si="5"/>
        <v>0</v>
      </c>
      <c r="F105" s="478">
        <v>0</v>
      </c>
      <c r="G105" s="477" t="e">
        <f t="shared" si="6"/>
        <v>#DIV/0!</v>
      </c>
      <c r="H105" s="50"/>
    </row>
    <row r="106" spans="1:8" ht="26.25" customHeight="1" x14ac:dyDescent="0.4">
      <c r="A106" s="516" t="s">
        <v>61</v>
      </c>
      <c r="B106" s="513" t="s">
        <v>450</v>
      </c>
      <c r="C106" s="483">
        <v>156345.16782999999</v>
      </c>
      <c r="D106" s="476">
        <v>42688.236490000003</v>
      </c>
      <c r="E106" s="477">
        <f t="shared" si="5"/>
        <v>27.303841290711674</v>
      </c>
      <c r="F106" s="479">
        <v>21505.09636</v>
      </c>
      <c r="G106" s="477">
        <f t="shared" si="6"/>
        <v>198.50288403915809</v>
      </c>
    </row>
    <row r="107" spans="1:8" ht="26.25" customHeight="1" x14ac:dyDescent="0.4">
      <c r="A107" s="509" t="s">
        <v>456</v>
      </c>
      <c r="B107" s="512" t="s">
        <v>467</v>
      </c>
      <c r="C107" s="528">
        <v>48449.336000000003</v>
      </c>
      <c r="D107" s="526"/>
      <c r="E107" s="477">
        <f t="shared" si="5"/>
        <v>0</v>
      </c>
      <c r="F107" s="478">
        <v>0</v>
      </c>
      <c r="G107" s="477" t="e">
        <f t="shared" si="6"/>
        <v>#DIV/0!</v>
      </c>
    </row>
    <row r="108" spans="1:8" ht="54" customHeight="1" x14ac:dyDescent="0.4">
      <c r="A108" s="509" t="s">
        <v>457</v>
      </c>
      <c r="B108" s="519" t="s">
        <v>484</v>
      </c>
      <c r="C108" s="544">
        <f>SUM(C109:C115)</f>
        <v>109113.68095000001</v>
      </c>
      <c r="D108" s="544">
        <f>SUM(D109:D115)</f>
        <v>43906.085950000001</v>
      </c>
      <c r="E108" s="477">
        <f t="shared" si="5"/>
        <v>40.238845915315991</v>
      </c>
      <c r="F108" s="492">
        <f>SUM(F109:F115)</f>
        <v>20362.308539999998</v>
      </c>
      <c r="G108" s="477">
        <f t="shared" si="6"/>
        <v>215.62430342193412</v>
      </c>
    </row>
    <row r="109" spans="1:8" ht="78" customHeight="1" x14ac:dyDescent="0.4">
      <c r="A109" s="509"/>
      <c r="B109" s="518" t="s">
        <v>477</v>
      </c>
      <c r="C109" s="545">
        <v>4242.4151400000001</v>
      </c>
      <c r="D109" s="541">
        <v>325.10399999999998</v>
      </c>
      <c r="E109" s="477">
        <f t="shared" si="5"/>
        <v>7.6631821561904001</v>
      </c>
      <c r="F109" s="480">
        <v>85</v>
      </c>
      <c r="G109" s="477">
        <f t="shared" si="6"/>
        <v>382.47529411764702</v>
      </c>
    </row>
    <row r="110" spans="1:8" ht="61.5" customHeight="1" x14ac:dyDescent="0.4">
      <c r="A110" s="509"/>
      <c r="B110" s="518" t="s">
        <v>478</v>
      </c>
      <c r="C110" s="545">
        <v>18766.7</v>
      </c>
      <c r="D110" s="541">
        <v>0</v>
      </c>
      <c r="E110" s="477">
        <f t="shared" si="5"/>
        <v>0</v>
      </c>
      <c r="F110" s="480">
        <v>0</v>
      </c>
      <c r="G110" s="477" t="e">
        <f t="shared" si="6"/>
        <v>#DIV/0!</v>
      </c>
    </row>
    <row r="111" spans="1:8" ht="64.5" customHeight="1" x14ac:dyDescent="0.4">
      <c r="A111" s="509"/>
      <c r="B111" s="518" t="s">
        <v>479</v>
      </c>
      <c r="C111" s="545">
        <v>22587.21</v>
      </c>
      <c r="D111" s="541">
        <v>15829.73158</v>
      </c>
      <c r="E111" s="477">
        <f t="shared" si="5"/>
        <v>70.082721947509228</v>
      </c>
      <c r="F111" s="480">
        <v>13163.31812</v>
      </c>
      <c r="G111" s="477">
        <f t="shared" si="6"/>
        <v>120.25639307424107</v>
      </c>
    </row>
    <row r="112" spans="1:8" ht="62.25" customHeight="1" x14ac:dyDescent="0.4">
      <c r="A112" s="509"/>
      <c r="B112" s="518" t="s">
        <v>480</v>
      </c>
      <c r="C112" s="545">
        <v>20031.93519</v>
      </c>
      <c r="D112" s="541">
        <v>100</v>
      </c>
      <c r="E112" s="477">
        <f t="shared" si="5"/>
        <v>0.49920289303811394</v>
      </c>
      <c r="F112" s="478">
        <v>0</v>
      </c>
      <c r="G112" s="477" t="e">
        <f t="shared" si="6"/>
        <v>#DIV/0!</v>
      </c>
    </row>
    <row r="113" spans="1:7" ht="47.25" customHeight="1" x14ac:dyDescent="0.4">
      <c r="A113" s="509"/>
      <c r="B113" s="518" t="s">
        <v>481</v>
      </c>
      <c r="C113" s="545">
        <v>8791.6206199999997</v>
      </c>
      <c r="D113" s="541">
        <v>5714.2873499999996</v>
      </c>
      <c r="E113" s="477">
        <f t="shared" si="5"/>
        <v>64.996973788889449</v>
      </c>
      <c r="F113" s="549">
        <v>5955.8243400000001</v>
      </c>
      <c r="G113" s="477">
        <f t="shared" si="6"/>
        <v>95.944524616385834</v>
      </c>
    </row>
    <row r="114" spans="1:7" ht="59.25" customHeight="1" x14ac:dyDescent="0.4">
      <c r="A114" s="509"/>
      <c r="B114" s="518" t="s">
        <v>482</v>
      </c>
      <c r="C114" s="545">
        <v>1217.8499999999999</v>
      </c>
      <c r="D114" s="541">
        <v>1217.8494599999999</v>
      </c>
      <c r="E114" s="477">
        <f t="shared" si="5"/>
        <v>99.999955659563994</v>
      </c>
      <c r="F114" s="478">
        <v>1158.16608</v>
      </c>
      <c r="G114" s="477">
        <f t="shared" si="6"/>
        <v>105.15326610152491</v>
      </c>
    </row>
    <row r="115" spans="1:7" ht="65.25" customHeight="1" x14ac:dyDescent="0.4">
      <c r="A115" s="509"/>
      <c r="B115" s="518" t="s">
        <v>483</v>
      </c>
      <c r="C115" s="545">
        <v>33475.949999999997</v>
      </c>
      <c r="D115" s="541">
        <v>20719.113560000002</v>
      </c>
      <c r="E115" s="477">
        <f t="shared" si="5"/>
        <v>61.892533475524978</v>
      </c>
      <c r="F115" s="478">
        <v>0</v>
      </c>
      <c r="G115" s="477" t="e">
        <f t="shared" si="6"/>
        <v>#DIV/0!</v>
      </c>
    </row>
    <row r="116" spans="1:7" ht="45" customHeight="1" x14ac:dyDescent="0.4">
      <c r="A116" s="353" t="s">
        <v>63</v>
      </c>
      <c r="B116" s="533" t="s">
        <v>536</v>
      </c>
      <c r="C116" s="544">
        <v>3145.4</v>
      </c>
      <c r="D116" s="493">
        <v>796.59738000000004</v>
      </c>
      <c r="E116" s="477">
        <f t="shared" si="5"/>
        <v>25.325789406752719</v>
      </c>
      <c r="F116" s="479">
        <v>799.61689999999999</v>
      </c>
      <c r="G116" s="477">
        <f t="shared" si="6"/>
        <v>99.622379166823521</v>
      </c>
    </row>
    <row r="117" spans="1:7" ht="62.25" customHeight="1" x14ac:dyDescent="0.4">
      <c r="A117" s="509" t="s">
        <v>495</v>
      </c>
      <c r="B117" s="520" t="s">
        <v>496</v>
      </c>
      <c r="C117" s="545">
        <v>200</v>
      </c>
      <c r="D117" s="541">
        <v>0</v>
      </c>
      <c r="E117" s="477">
        <f t="shared" si="5"/>
        <v>0</v>
      </c>
      <c r="F117" s="478"/>
      <c r="G117" s="477" t="e">
        <f t="shared" si="6"/>
        <v>#DIV/0!</v>
      </c>
    </row>
    <row r="118" spans="1:7" ht="62.25" customHeight="1" x14ac:dyDescent="0.4">
      <c r="A118" s="509" t="s">
        <v>501</v>
      </c>
      <c r="B118" s="520" t="s">
        <v>497</v>
      </c>
      <c r="C118" s="545">
        <v>1500</v>
      </c>
      <c r="D118" s="541">
        <v>530.60392999999999</v>
      </c>
      <c r="E118" s="477">
        <f t="shared" si="5"/>
        <v>35.373595333333334</v>
      </c>
      <c r="F118" s="550">
        <v>286.5</v>
      </c>
      <c r="G118" s="477">
        <f t="shared" si="6"/>
        <v>185.20206980802791</v>
      </c>
    </row>
    <row r="119" spans="1:7" ht="62.25" customHeight="1" x14ac:dyDescent="0.4">
      <c r="A119" s="509" t="s">
        <v>501</v>
      </c>
      <c r="B119" s="520" t="s">
        <v>498</v>
      </c>
      <c r="C119" s="545">
        <v>922.4</v>
      </c>
      <c r="D119" s="541">
        <v>0</v>
      </c>
      <c r="E119" s="477">
        <f t="shared" si="5"/>
        <v>0</v>
      </c>
      <c r="F119" s="478"/>
      <c r="G119" s="477" t="e">
        <f t="shared" si="6"/>
        <v>#DIV/0!</v>
      </c>
    </row>
    <row r="120" spans="1:7" ht="38.25" customHeight="1" x14ac:dyDescent="0.4">
      <c r="A120" s="509" t="s">
        <v>499</v>
      </c>
      <c r="B120" s="520" t="s">
        <v>500</v>
      </c>
      <c r="C120" s="528">
        <v>276.5</v>
      </c>
      <c r="D120" s="526">
        <v>90.563999999999993</v>
      </c>
      <c r="E120" s="477">
        <f t="shared" si="5"/>
        <v>32.753707052441229</v>
      </c>
      <c r="F120" s="478">
        <v>251.50399999999999</v>
      </c>
      <c r="G120" s="477">
        <f t="shared" si="6"/>
        <v>36.008970036261843</v>
      </c>
    </row>
    <row r="121" spans="1:7" s="6" customFormat="1" ht="26.25" x14ac:dyDescent="0.4">
      <c r="A121" s="353" t="s">
        <v>65</v>
      </c>
      <c r="B121" s="515" t="s">
        <v>66</v>
      </c>
      <c r="C121" s="475">
        <f>SUM(C122+C125+C133+C142)</f>
        <v>174670.46406</v>
      </c>
      <c r="D121" s="476">
        <f>SUM(D122+D125+D133+D142)</f>
        <v>26984.934569999998</v>
      </c>
      <c r="E121" s="477">
        <f t="shared" si="5"/>
        <v>15.449054146172397</v>
      </c>
      <c r="F121" s="475">
        <f>SUM(F122+F125+F133)</f>
        <v>10304.312330000001</v>
      </c>
      <c r="G121" s="477">
        <f t="shared" si="6"/>
        <v>261.88001397663373</v>
      </c>
    </row>
    <row r="122" spans="1:7" ht="26.25" x14ac:dyDescent="0.4">
      <c r="A122" s="516" t="s">
        <v>67</v>
      </c>
      <c r="B122" s="514" t="s">
        <v>469</v>
      </c>
      <c r="C122" s="478">
        <v>4739.9020899999996</v>
      </c>
      <c r="D122" s="479">
        <v>4074.2508699999998</v>
      </c>
      <c r="E122" s="477">
        <f t="shared" si="5"/>
        <v>85.956435230922679</v>
      </c>
      <c r="F122" s="479">
        <v>365.39839000000001</v>
      </c>
      <c r="G122" s="477">
        <f t="shared" si="6"/>
        <v>1115.0160979089153</v>
      </c>
    </row>
    <row r="123" spans="1:7" ht="57.75" x14ac:dyDescent="0.4">
      <c r="A123" s="509" t="s">
        <v>455</v>
      </c>
      <c r="B123" s="508" t="s">
        <v>453</v>
      </c>
      <c r="C123" s="540">
        <v>1000</v>
      </c>
      <c r="D123" s="541">
        <v>334.34877999999998</v>
      </c>
      <c r="E123" s="477">
        <f t="shared" si="5"/>
        <v>33.434877999999998</v>
      </c>
      <c r="F123" s="480">
        <v>365.39839000000001</v>
      </c>
      <c r="G123" s="477">
        <f t="shared" si="6"/>
        <v>91.502532345585863</v>
      </c>
    </row>
    <row r="124" spans="1:7" ht="40.5" customHeight="1" x14ac:dyDescent="0.4">
      <c r="A124" s="509" t="s">
        <v>556</v>
      </c>
      <c r="B124" s="508" t="s">
        <v>557</v>
      </c>
      <c r="C124" s="540">
        <v>3739.90209</v>
      </c>
      <c r="D124" s="541">
        <v>3739.90209</v>
      </c>
      <c r="E124" s="477"/>
      <c r="F124" s="548">
        <v>0</v>
      </c>
      <c r="G124" s="477" t="e">
        <f t="shared" si="6"/>
        <v>#DIV/0!</v>
      </c>
    </row>
    <row r="125" spans="1:7" ht="23.25" customHeight="1" x14ac:dyDescent="0.4">
      <c r="A125" s="516" t="s">
        <v>69</v>
      </c>
      <c r="B125" s="514" t="s">
        <v>452</v>
      </c>
      <c r="C125" s="480">
        <v>84288.992190000004</v>
      </c>
      <c r="D125" s="481">
        <v>9791.2107099999994</v>
      </c>
      <c r="E125" s="477">
        <f t="shared" si="5"/>
        <v>11.61623891282167</v>
      </c>
      <c r="F125" s="479">
        <v>2615.1749100000002</v>
      </c>
      <c r="G125" s="477">
        <f t="shared" si="6"/>
        <v>374.39984119456085</v>
      </c>
    </row>
    <row r="126" spans="1:7" ht="47.25" customHeight="1" x14ac:dyDescent="0.4">
      <c r="A126" s="509" t="s">
        <v>455</v>
      </c>
      <c r="B126" s="508" t="s">
        <v>471</v>
      </c>
      <c r="C126" s="540">
        <v>1258</v>
      </c>
      <c r="D126" s="541">
        <v>548.029</v>
      </c>
      <c r="E126" s="477">
        <f t="shared" si="5"/>
        <v>43.563513513513513</v>
      </c>
      <c r="F126" s="480">
        <v>273.86434000000003</v>
      </c>
      <c r="G126" s="477">
        <f t="shared" si="6"/>
        <v>200.10966013318856</v>
      </c>
    </row>
    <row r="127" spans="1:7" ht="37.5" customHeight="1" x14ac:dyDescent="0.4">
      <c r="A127" s="509" t="s">
        <v>455</v>
      </c>
      <c r="B127" s="508" t="s">
        <v>537</v>
      </c>
      <c r="C127" s="540">
        <v>7994.3689999999997</v>
      </c>
      <c r="D127" s="541">
        <v>0</v>
      </c>
      <c r="E127" s="477">
        <f t="shared" si="5"/>
        <v>0</v>
      </c>
      <c r="F127" s="478"/>
      <c r="G127" s="477" t="e">
        <f t="shared" si="6"/>
        <v>#DIV/0!</v>
      </c>
    </row>
    <row r="128" spans="1:7" ht="72.75" customHeight="1" x14ac:dyDescent="0.4">
      <c r="A128" s="509" t="s">
        <v>455</v>
      </c>
      <c r="B128" s="508" t="s">
        <v>538</v>
      </c>
      <c r="C128" s="540">
        <v>7000</v>
      </c>
      <c r="D128" s="541">
        <v>0</v>
      </c>
      <c r="E128" s="477">
        <f t="shared" ref="E128" si="7">SUM(D128/C128*100)</f>
        <v>0</v>
      </c>
      <c r="F128" s="478"/>
      <c r="G128" s="477" t="e">
        <f t="shared" si="6"/>
        <v>#DIV/0!</v>
      </c>
    </row>
    <row r="129" spans="1:7" ht="39" customHeight="1" x14ac:dyDescent="0.4">
      <c r="A129" s="509" t="s">
        <v>458</v>
      </c>
      <c r="B129" s="508" t="s">
        <v>451</v>
      </c>
      <c r="C129" s="540">
        <v>38.009</v>
      </c>
      <c r="D129" s="541">
        <v>0</v>
      </c>
      <c r="E129" s="477">
        <f t="shared" si="5"/>
        <v>0</v>
      </c>
      <c r="F129" s="478">
        <v>90.363</v>
      </c>
      <c r="G129" s="477">
        <f t="shared" si="6"/>
        <v>0</v>
      </c>
    </row>
    <row r="130" spans="1:7" ht="26.25" customHeight="1" x14ac:dyDescent="0.4">
      <c r="A130" s="509" t="s">
        <v>459</v>
      </c>
      <c r="B130" s="508" t="s">
        <v>470</v>
      </c>
      <c r="C130" s="540">
        <v>17232.448850000001</v>
      </c>
      <c r="D130" s="541">
        <v>7707.7</v>
      </c>
      <c r="E130" s="477">
        <f t="shared" si="5"/>
        <v>44.7278275252214</v>
      </c>
      <c r="F130" s="478">
        <v>2250.9470000000001</v>
      </c>
      <c r="G130" s="477">
        <f t="shared" si="6"/>
        <v>342.4203235349388</v>
      </c>
    </row>
    <row r="131" spans="1:7" ht="37.5" customHeight="1" x14ac:dyDescent="0.4">
      <c r="A131" s="509" t="s">
        <v>535</v>
      </c>
      <c r="B131" s="508" t="s">
        <v>506</v>
      </c>
      <c r="C131" s="540">
        <v>4817.2</v>
      </c>
      <c r="D131" s="541">
        <v>1535.4811400000001</v>
      </c>
      <c r="E131" s="477">
        <f t="shared" si="5"/>
        <v>31.874971767831937</v>
      </c>
      <c r="F131" s="478"/>
      <c r="G131" s="477" t="e">
        <f t="shared" si="6"/>
        <v>#DIV/0!</v>
      </c>
    </row>
    <row r="132" spans="1:7" ht="23.25" customHeight="1" x14ac:dyDescent="0.4">
      <c r="A132" s="509" t="s">
        <v>456</v>
      </c>
      <c r="B132" s="512" t="s">
        <v>467</v>
      </c>
      <c r="C132" s="525">
        <v>45405.978419999999</v>
      </c>
      <c r="D132" s="526">
        <v>0</v>
      </c>
      <c r="E132" s="477">
        <f t="shared" si="5"/>
        <v>0</v>
      </c>
      <c r="F132" s="478">
        <v>0</v>
      </c>
      <c r="G132" s="477" t="e">
        <f t="shared" si="6"/>
        <v>#DIV/0!</v>
      </c>
    </row>
    <row r="133" spans="1:7" ht="27.75" customHeight="1" x14ac:dyDescent="0.4">
      <c r="A133" s="516" t="s">
        <v>71</v>
      </c>
      <c r="B133" s="513" t="s">
        <v>468</v>
      </c>
      <c r="C133" s="478">
        <v>85636.669779999997</v>
      </c>
      <c r="D133" s="479">
        <v>13119.47299</v>
      </c>
      <c r="E133" s="477">
        <f t="shared" si="5"/>
        <v>15.319924307780575</v>
      </c>
      <c r="F133" s="479">
        <v>7323.7390299999997</v>
      </c>
      <c r="G133" s="477">
        <f t="shared" si="6"/>
        <v>179.1362709165239</v>
      </c>
    </row>
    <row r="134" spans="1:7" ht="57" customHeight="1" x14ac:dyDescent="0.4">
      <c r="A134" s="509" t="s">
        <v>465</v>
      </c>
      <c r="B134" s="517" t="s">
        <v>475</v>
      </c>
      <c r="C134" s="480">
        <f>SUM(C135:C138)</f>
        <v>31816.606199999998</v>
      </c>
      <c r="D134" s="481">
        <v>4189.9095100000004</v>
      </c>
      <c r="E134" s="477">
        <f t="shared" si="5"/>
        <v>13.168939149770162</v>
      </c>
      <c r="F134" s="478">
        <v>3886.11465</v>
      </c>
      <c r="G134" s="477">
        <f t="shared" si="6"/>
        <v>107.81744460369949</v>
      </c>
    </row>
    <row r="135" spans="1:7" ht="27" customHeight="1" x14ac:dyDescent="0.4">
      <c r="A135" s="509" t="s">
        <v>465</v>
      </c>
      <c r="B135" s="512" t="s">
        <v>472</v>
      </c>
      <c r="C135" s="540">
        <v>10000</v>
      </c>
      <c r="D135" s="541">
        <v>2459.415</v>
      </c>
      <c r="E135" s="477">
        <f t="shared" si="5"/>
        <v>24.594149999999999</v>
      </c>
      <c r="F135" s="478">
        <v>2810.9180000000001</v>
      </c>
      <c r="G135" s="477">
        <f t="shared" si="6"/>
        <v>87.495081677942935</v>
      </c>
    </row>
    <row r="136" spans="1:7" ht="44.25" customHeight="1" x14ac:dyDescent="0.4">
      <c r="A136" s="509" t="s">
        <v>465</v>
      </c>
      <c r="B136" s="512" t="s">
        <v>473</v>
      </c>
      <c r="C136" s="540">
        <v>899.3</v>
      </c>
      <c r="D136" s="541">
        <v>0</v>
      </c>
      <c r="E136" s="477">
        <f t="shared" si="5"/>
        <v>0</v>
      </c>
      <c r="F136" s="478"/>
      <c r="G136" s="477" t="e">
        <f t="shared" si="6"/>
        <v>#DIV/0!</v>
      </c>
    </row>
    <row r="137" spans="1:7" ht="28.5" customHeight="1" x14ac:dyDescent="0.4">
      <c r="A137" s="509" t="s">
        <v>465</v>
      </c>
      <c r="B137" s="512" t="s">
        <v>474</v>
      </c>
      <c r="C137" s="540">
        <v>14604.159</v>
      </c>
      <c r="D137" s="541">
        <v>2938.933</v>
      </c>
      <c r="E137" s="477">
        <f t="shared" si="5"/>
        <v>20.123945514425035</v>
      </c>
      <c r="F137" s="478">
        <v>2440.788</v>
      </c>
      <c r="G137" s="477">
        <f t="shared" si="6"/>
        <v>120.40918752468465</v>
      </c>
    </row>
    <row r="138" spans="1:7" ht="28.5" customHeight="1" x14ac:dyDescent="0.4">
      <c r="A138" s="509" t="s">
        <v>465</v>
      </c>
      <c r="B138" s="512" t="s">
        <v>485</v>
      </c>
      <c r="C138" s="540">
        <v>6313.1472000000003</v>
      </c>
      <c r="D138" s="541">
        <v>0</v>
      </c>
      <c r="E138" s="477">
        <f t="shared" si="5"/>
        <v>0</v>
      </c>
      <c r="F138" s="478"/>
      <c r="G138" s="477" t="e">
        <f t="shared" si="6"/>
        <v>#DIV/0!</v>
      </c>
    </row>
    <row r="139" spans="1:7" ht="27.75" customHeight="1" x14ac:dyDescent="0.4">
      <c r="A139" s="509" t="s">
        <v>456</v>
      </c>
      <c r="B139" s="512" t="s">
        <v>467</v>
      </c>
      <c r="C139" s="540">
        <v>51624.666389999999</v>
      </c>
      <c r="D139" s="541">
        <v>6809.8332200000004</v>
      </c>
      <c r="E139" s="477">
        <f t="shared" si="5"/>
        <v>13.191045475344913</v>
      </c>
      <c r="F139" s="478">
        <v>2072.0318299999999</v>
      </c>
      <c r="G139" s="477">
        <f t="shared" si="6"/>
        <v>328.65485565441344</v>
      </c>
    </row>
    <row r="140" spans="1:7" ht="39" customHeight="1" x14ac:dyDescent="0.4">
      <c r="A140" s="509" t="s">
        <v>456</v>
      </c>
      <c r="B140" s="512" t="s">
        <v>540</v>
      </c>
      <c r="C140" s="540">
        <v>4622.3130000000001</v>
      </c>
      <c r="D140" s="541">
        <v>0</v>
      </c>
      <c r="E140" s="477">
        <f t="shared" si="5"/>
        <v>0</v>
      </c>
      <c r="F140" s="478"/>
      <c r="G140" s="477" t="e">
        <f t="shared" si="6"/>
        <v>#DIV/0!</v>
      </c>
    </row>
    <row r="141" spans="1:7" ht="50.25" customHeight="1" x14ac:dyDescent="0.4">
      <c r="A141" s="509" t="s">
        <v>466</v>
      </c>
      <c r="B141" s="512" t="s">
        <v>476</v>
      </c>
      <c r="C141" s="540">
        <v>2100</v>
      </c>
      <c r="D141" s="541">
        <v>815.90189999999996</v>
      </c>
      <c r="E141" s="477">
        <f t="shared" si="5"/>
        <v>38.852471428571427</v>
      </c>
      <c r="F141" s="478">
        <v>0</v>
      </c>
      <c r="G141" s="477" t="e">
        <f t="shared" si="6"/>
        <v>#DIV/0!</v>
      </c>
    </row>
    <row r="142" spans="1:7" ht="45.75" customHeight="1" x14ac:dyDescent="0.4">
      <c r="A142" s="530" t="s">
        <v>247</v>
      </c>
      <c r="B142" s="533" t="s">
        <v>257</v>
      </c>
      <c r="C142" s="480">
        <v>4.9000000000000004</v>
      </c>
      <c r="D142" s="481">
        <v>0</v>
      </c>
      <c r="E142" s="477">
        <f t="shared" si="5"/>
        <v>0</v>
      </c>
      <c r="F142" s="478">
        <v>0</v>
      </c>
      <c r="G142" s="477" t="e">
        <f t="shared" si="6"/>
        <v>#DIV/0!</v>
      </c>
    </row>
    <row r="143" spans="1:7" s="6" customFormat="1" ht="26.25" x14ac:dyDescent="0.4">
      <c r="A143" s="516" t="s">
        <v>73</v>
      </c>
      <c r="B143" s="532" t="s">
        <v>74</v>
      </c>
      <c r="C143" s="483">
        <v>1162.05</v>
      </c>
      <c r="D143" s="483">
        <v>648.91762000000006</v>
      </c>
      <c r="E143" s="477">
        <f t="shared" si="5"/>
        <v>55.842486984208946</v>
      </c>
      <c r="F143" s="483">
        <f>SUM(F144:F145)</f>
        <v>380.22674999999998</v>
      </c>
      <c r="G143" s="477">
        <f t="shared" si="6"/>
        <v>170.66595656407659</v>
      </c>
    </row>
    <row r="144" spans="1:7" s="6" customFormat="1" ht="47.25" x14ac:dyDescent="0.4">
      <c r="A144" s="530" t="s">
        <v>490</v>
      </c>
      <c r="B144" s="535" t="s">
        <v>539</v>
      </c>
      <c r="C144" s="483"/>
      <c r="D144" s="484"/>
      <c r="E144" s="477"/>
      <c r="F144" s="485">
        <v>0</v>
      </c>
      <c r="G144" s="477"/>
    </row>
    <row r="145" spans="1:7" ht="28.5" customHeight="1" x14ac:dyDescent="0.4">
      <c r="A145" s="530" t="s">
        <v>436</v>
      </c>
      <c r="B145" s="533" t="s">
        <v>437</v>
      </c>
      <c r="C145" s="487">
        <v>1162.05</v>
      </c>
      <c r="D145" s="481">
        <v>648.91762000000006</v>
      </c>
      <c r="E145" s="477">
        <f t="shared" si="5"/>
        <v>55.842486984208946</v>
      </c>
      <c r="F145" s="480">
        <v>380.22674999999998</v>
      </c>
      <c r="G145" s="477">
        <f t="shared" si="6"/>
        <v>170.66595656407659</v>
      </c>
    </row>
    <row r="146" spans="1:7" ht="28.5" customHeight="1" x14ac:dyDescent="0.4">
      <c r="A146" s="509" t="s">
        <v>541</v>
      </c>
      <c r="B146" s="520" t="s">
        <v>542</v>
      </c>
      <c r="C146" s="545">
        <v>1100</v>
      </c>
      <c r="D146" s="541">
        <v>648.91700000000003</v>
      </c>
      <c r="E146" s="477"/>
      <c r="F146" s="480">
        <v>380.226</v>
      </c>
      <c r="G146" s="477">
        <f t="shared" si="6"/>
        <v>170.66613014365143</v>
      </c>
    </row>
    <row r="147" spans="1:7" ht="44.25" customHeight="1" x14ac:dyDescent="0.4">
      <c r="A147" s="509" t="s">
        <v>466</v>
      </c>
      <c r="B147" s="520" t="s">
        <v>543</v>
      </c>
      <c r="C147" s="545">
        <v>62.05</v>
      </c>
      <c r="D147" s="541">
        <v>0</v>
      </c>
      <c r="E147" s="477"/>
      <c r="F147" s="480"/>
      <c r="G147" s="477" t="e">
        <f t="shared" si="6"/>
        <v>#DIV/0!</v>
      </c>
    </row>
    <row r="148" spans="1:7" s="6" customFormat="1" ht="26.25" x14ac:dyDescent="0.4">
      <c r="A148" s="516" t="s">
        <v>75</v>
      </c>
      <c r="B148" s="532" t="s">
        <v>76</v>
      </c>
      <c r="C148" s="483">
        <f>SUM(C149+C153+C162+C166+C167+C168)</f>
        <v>686612.26360999991</v>
      </c>
      <c r="D148" s="484">
        <f>D149+D153+D167+D168+D162+D166</f>
        <v>390746.94524000003</v>
      </c>
      <c r="E148" s="477">
        <f t="shared" si="5"/>
        <v>56.90940374201454</v>
      </c>
      <c r="F148" s="483">
        <f>SUM(F149+F153+F162+F166+F167+F168)</f>
        <v>341431.05770999996</v>
      </c>
      <c r="G148" s="477">
        <f t="shared" si="6"/>
        <v>114.44387861513388</v>
      </c>
    </row>
    <row r="149" spans="1:7" ht="26.25" x14ac:dyDescent="0.4">
      <c r="A149" s="530" t="s">
        <v>77</v>
      </c>
      <c r="B149" s="531" t="s">
        <v>242</v>
      </c>
      <c r="C149" s="485">
        <v>143223.23699999999</v>
      </c>
      <c r="D149" s="479">
        <v>69949.884959999996</v>
      </c>
      <c r="E149" s="477">
        <f t="shared" si="5"/>
        <v>48.839759821934479</v>
      </c>
      <c r="F149" s="479">
        <v>67464.685140000001</v>
      </c>
      <c r="G149" s="477">
        <f t="shared" si="6"/>
        <v>103.68370476322954</v>
      </c>
    </row>
    <row r="150" spans="1:7" ht="42" x14ac:dyDescent="0.4">
      <c r="A150" s="509" t="s">
        <v>508</v>
      </c>
      <c r="B150" s="522" t="s">
        <v>559</v>
      </c>
      <c r="C150" s="528">
        <v>18084.837</v>
      </c>
      <c r="D150" s="526">
        <v>7863.7150000000001</v>
      </c>
      <c r="E150" s="477">
        <f t="shared" si="5"/>
        <v>43.482365917923396</v>
      </c>
      <c r="F150" s="478">
        <v>6138.67</v>
      </c>
      <c r="G150" s="477"/>
    </row>
    <row r="151" spans="1:7" ht="102.75" x14ac:dyDescent="0.4">
      <c r="A151" s="509" t="s">
        <v>508</v>
      </c>
      <c r="B151" s="522" t="s">
        <v>515</v>
      </c>
      <c r="C151" s="528">
        <v>1521.8</v>
      </c>
      <c r="D151" s="526">
        <v>534.96900000000005</v>
      </c>
      <c r="E151" s="477">
        <f t="shared" si="5"/>
        <v>35.153699566303068</v>
      </c>
      <c r="F151" s="478">
        <v>425.51949999999999</v>
      </c>
      <c r="G151" s="477"/>
    </row>
    <row r="152" spans="1:7" ht="48" customHeight="1" x14ac:dyDescent="0.4">
      <c r="A152" s="509" t="s">
        <v>507</v>
      </c>
      <c r="B152" s="522" t="s">
        <v>516</v>
      </c>
      <c r="C152" s="528">
        <v>60</v>
      </c>
      <c r="D152" s="526">
        <v>0</v>
      </c>
      <c r="E152" s="477">
        <f t="shared" si="5"/>
        <v>0</v>
      </c>
      <c r="F152" s="478"/>
      <c r="G152" s="477"/>
    </row>
    <row r="153" spans="1:7" ht="26.25" x14ac:dyDescent="0.4">
      <c r="A153" s="530" t="s">
        <v>78</v>
      </c>
      <c r="B153" s="531" t="s">
        <v>243</v>
      </c>
      <c r="C153" s="485">
        <v>486006.78350999998</v>
      </c>
      <c r="D153" s="479">
        <v>297759.46302000002</v>
      </c>
      <c r="E153" s="477">
        <f t="shared" si="5"/>
        <v>61.266524073912109</v>
      </c>
      <c r="F153" s="479">
        <v>253305.97226000001</v>
      </c>
      <c r="G153" s="477">
        <f t="shared" si="6"/>
        <v>117.54932596471581</v>
      </c>
    </row>
    <row r="154" spans="1:7" ht="62.25" x14ac:dyDescent="0.4">
      <c r="A154" s="509" t="s">
        <v>508</v>
      </c>
      <c r="B154" s="522" t="s">
        <v>517</v>
      </c>
      <c r="C154" s="528">
        <v>35344.15</v>
      </c>
      <c r="D154" s="526">
        <v>3559.3879999999999</v>
      </c>
      <c r="E154" s="477">
        <f t="shared" si="5"/>
        <v>10.070656671613264</v>
      </c>
      <c r="F154" s="478">
        <v>3649.3820000000001</v>
      </c>
      <c r="G154" s="477">
        <f t="shared" si="6"/>
        <v>97.533993426832268</v>
      </c>
    </row>
    <row r="155" spans="1:7" ht="62.25" x14ac:dyDescent="0.4">
      <c r="A155" s="509" t="s">
        <v>508</v>
      </c>
      <c r="B155" s="522" t="s">
        <v>518</v>
      </c>
      <c r="C155" s="528">
        <v>1743.4</v>
      </c>
      <c r="D155" s="526">
        <v>665.31582000000003</v>
      </c>
      <c r="E155" s="477">
        <f t="shared" ref="E155:E160" si="8">SUM(D155/C155*100)</f>
        <v>38.1619720087186</v>
      </c>
      <c r="F155" s="478">
        <v>611.80660999999998</v>
      </c>
      <c r="G155" s="477">
        <f t="shared" si="6"/>
        <v>108.74609870592933</v>
      </c>
    </row>
    <row r="156" spans="1:7" ht="88.5" customHeight="1" x14ac:dyDescent="0.4">
      <c r="A156" s="509" t="s">
        <v>508</v>
      </c>
      <c r="B156" s="522" t="s">
        <v>545</v>
      </c>
      <c r="C156" s="528">
        <v>23080</v>
      </c>
      <c r="D156" s="526">
        <v>19797.64</v>
      </c>
      <c r="E156" s="477">
        <f t="shared" si="8"/>
        <v>85.77833622183708</v>
      </c>
      <c r="F156" s="478">
        <v>10067.932000000001</v>
      </c>
      <c r="G156" s="477">
        <f t="shared" si="6"/>
        <v>196.64058120376654</v>
      </c>
    </row>
    <row r="157" spans="1:7" ht="88.5" customHeight="1" x14ac:dyDescent="0.4">
      <c r="A157" s="509" t="s">
        <v>508</v>
      </c>
      <c r="B157" s="522" t="s">
        <v>546</v>
      </c>
      <c r="C157" s="528">
        <v>15268.844440000001</v>
      </c>
      <c r="D157" s="526">
        <v>7031.8795300000002</v>
      </c>
      <c r="E157" s="477">
        <f t="shared" si="8"/>
        <v>46.053776745399858</v>
      </c>
      <c r="F157" s="478">
        <v>6336.1450000000004</v>
      </c>
      <c r="G157" s="477">
        <f t="shared" si="6"/>
        <v>110.98040732969336</v>
      </c>
    </row>
    <row r="158" spans="1:7" ht="127.5" customHeight="1" x14ac:dyDescent="0.4">
      <c r="A158" s="509" t="s">
        <v>508</v>
      </c>
      <c r="B158" s="522" t="s">
        <v>544</v>
      </c>
      <c r="C158" s="528">
        <v>2568.1129999999998</v>
      </c>
      <c r="D158" s="526">
        <v>977.13495</v>
      </c>
      <c r="E158" s="477"/>
      <c r="F158" s="478">
        <v>581.91480000000001</v>
      </c>
      <c r="G158" s="477">
        <f t="shared" si="6"/>
        <v>167.91718478375185</v>
      </c>
    </row>
    <row r="159" spans="1:7" ht="46.5" customHeight="1" x14ac:dyDescent="0.4">
      <c r="A159" s="509" t="s">
        <v>508</v>
      </c>
      <c r="B159" s="522" t="s">
        <v>558</v>
      </c>
      <c r="C159" s="528">
        <v>3208.9247300000002</v>
      </c>
      <c r="D159" s="526">
        <v>2500</v>
      </c>
      <c r="E159" s="477"/>
      <c r="F159" s="478"/>
      <c r="G159" s="477"/>
    </row>
    <row r="160" spans="1:7" ht="87" customHeight="1" x14ac:dyDescent="0.4">
      <c r="A160" s="509" t="s">
        <v>509</v>
      </c>
      <c r="B160" s="522" t="s">
        <v>530</v>
      </c>
      <c r="C160" s="528">
        <v>3149.3708999999999</v>
      </c>
      <c r="D160" s="526">
        <v>1780.51072</v>
      </c>
      <c r="E160" s="477">
        <f t="shared" si="8"/>
        <v>56.535440776442044</v>
      </c>
      <c r="F160" s="550">
        <v>1855.519</v>
      </c>
      <c r="G160" s="477">
        <f t="shared" si="6"/>
        <v>95.957557966261732</v>
      </c>
    </row>
    <row r="161" spans="1:7" ht="42" x14ac:dyDescent="0.4">
      <c r="A161" s="509" t="s">
        <v>526</v>
      </c>
      <c r="B161" s="522" t="s">
        <v>516</v>
      </c>
      <c r="C161" s="528">
        <v>200</v>
      </c>
      <c r="D161" s="526">
        <v>12.6</v>
      </c>
      <c r="E161" s="477">
        <f t="shared" ref="E161" si="9">SUM(D161/C161*100)</f>
        <v>6.3</v>
      </c>
      <c r="F161" s="478">
        <v>11.4</v>
      </c>
      <c r="G161" s="477">
        <f t="shared" si="6"/>
        <v>110.52631578947367</v>
      </c>
    </row>
    <row r="162" spans="1:7" ht="26.25" x14ac:dyDescent="0.4">
      <c r="A162" s="530" t="s">
        <v>310</v>
      </c>
      <c r="B162" s="531" t="s">
        <v>311</v>
      </c>
      <c r="C162" s="485">
        <v>26335.74783</v>
      </c>
      <c r="D162" s="479">
        <v>16804.809000000001</v>
      </c>
      <c r="E162" s="477">
        <f t="shared" ref="E162:E199" si="10">SUM(D162/C162*100)</f>
        <v>63.809879668034476</v>
      </c>
      <c r="F162" s="479">
        <v>16223.04263</v>
      </c>
      <c r="G162" s="477">
        <f t="shared" si="6"/>
        <v>103.58604969035947</v>
      </c>
    </row>
    <row r="163" spans="1:7" ht="42" x14ac:dyDescent="0.4">
      <c r="A163" s="509" t="s">
        <v>508</v>
      </c>
      <c r="B163" s="522" t="s">
        <v>494</v>
      </c>
      <c r="C163" s="528">
        <v>10773.84</v>
      </c>
      <c r="D163" s="526">
        <v>5679.5072</v>
      </c>
      <c r="E163" s="477">
        <f t="shared" si="10"/>
        <v>52.715718815204241</v>
      </c>
      <c r="F163" s="478">
        <v>5709.8620000000001</v>
      </c>
      <c r="G163" s="477">
        <f t="shared" si="6"/>
        <v>99.468379445948074</v>
      </c>
    </row>
    <row r="164" spans="1:7" ht="48" customHeight="1" x14ac:dyDescent="0.4">
      <c r="A164" s="509" t="s">
        <v>508</v>
      </c>
      <c r="B164" s="522" t="s">
        <v>523</v>
      </c>
      <c r="C164" s="528">
        <v>13683.9218</v>
      </c>
      <c r="D164" s="526">
        <v>11125.301799999999</v>
      </c>
      <c r="E164" s="477">
        <f t="shared" si="10"/>
        <v>81.301997794228839</v>
      </c>
      <c r="F164" s="478">
        <v>5040.4780000000001</v>
      </c>
      <c r="G164" s="477">
        <f t="shared" si="6"/>
        <v>220.7191817918856</v>
      </c>
    </row>
    <row r="165" spans="1:7" ht="45.75" customHeight="1" x14ac:dyDescent="0.4">
      <c r="A165" s="509" t="s">
        <v>525</v>
      </c>
      <c r="B165" s="522" t="s">
        <v>524</v>
      </c>
      <c r="C165" s="528">
        <v>0</v>
      </c>
      <c r="D165" s="526">
        <v>0</v>
      </c>
      <c r="E165" s="477" t="e">
        <f t="shared" si="10"/>
        <v>#DIV/0!</v>
      </c>
      <c r="F165" s="478">
        <v>4385.4859999999999</v>
      </c>
      <c r="G165" s="477">
        <f t="shared" si="6"/>
        <v>0</v>
      </c>
    </row>
    <row r="166" spans="1:7" ht="47.25" x14ac:dyDescent="0.4">
      <c r="A166" s="530" t="s">
        <v>427</v>
      </c>
      <c r="B166" s="531" t="s">
        <v>428</v>
      </c>
      <c r="C166" s="487">
        <v>140</v>
      </c>
      <c r="D166" s="481">
        <v>59.4</v>
      </c>
      <c r="E166" s="477">
        <f t="shared" si="10"/>
        <v>42.428571428571423</v>
      </c>
      <c r="F166" s="478">
        <v>38.6</v>
      </c>
      <c r="G166" s="477">
        <f t="shared" si="6"/>
        <v>153.88601036269429</v>
      </c>
    </row>
    <row r="167" spans="1:7" ht="26.25" x14ac:dyDescent="0.4">
      <c r="A167" s="530" t="s">
        <v>79</v>
      </c>
      <c r="B167" s="531" t="s">
        <v>244</v>
      </c>
      <c r="C167" s="487">
        <v>620</v>
      </c>
      <c r="D167" s="481">
        <v>122.0669</v>
      </c>
      <c r="E167" s="477">
        <f t="shared" si="10"/>
        <v>19.688209677419355</v>
      </c>
      <c r="F167" s="478">
        <v>126.2092</v>
      </c>
      <c r="G167" s="477">
        <f t="shared" si="6"/>
        <v>96.717909629408965</v>
      </c>
    </row>
    <row r="168" spans="1:7" ht="26.25" x14ac:dyDescent="0.4">
      <c r="A168" s="530" t="s">
        <v>80</v>
      </c>
      <c r="B168" s="531" t="s">
        <v>245</v>
      </c>
      <c r="C168" s="487">
        <v>30286.495269999999</v>
      </c>
      <c r="D168" s="481">
        <v>6051.3213599999999</v>
      </c>
      <c r="E168" s="477">
        <f t="shared" si="10"/>
        <v>19.980262840098501</v>
      </c>
      <c r="F168" s="479">
        <v>4272.5484800000004</v>
      </c>
      <c r="G168" s="477">
        <f t="shared" si="6"/>
        <v>141.63259675873823</v>
      </c>
    </row>
    <row r="169" spans="1:7" ht="42" x14ac:dyDescent="0.4">
      <c r="A169" s="509" t="s">
        <v>527</v>
      </c>
      <c r="B169" s="522" t="s">
        <v>491</v>
      </c>
      <c r="C169" s="487">
        <v>2820</v>
      </c>
      <c r="D169" s="481">
        <v>2913.5590000000002</v>
      </c>
      <c r="E169" s="477">
        <f t="shared" si="10"/>
        <v>103.317695035461</v>
      </c>
      <c r="F169" s="478">
        <v>2555.8339999999998</v>
      </c>
      <c r="G169" s="477">
        <f t="shared" si="6"/>
        <v>113.99640978248198</v>
      </c>
    </row>
    <row r="170" spans="1:7" ht="51.75" customHeight="1" x14ac:dyDescent="0.4">
      <c r="A170" s="509" t="s">
        <v>548</v>
      </c>
      <c r="B170" s="522" t="s">
        <v>547</v>
      </c>
      <c r="C170" s="487">
        <v>1100</v>
      </c>
      <c r="D170" s="481">
        <v>362.50599999999997</v>
      </c>
      <c r="E170" s="477">
        <f t="shared" si="10"/>
        <v>32.955090909090906</v>
      </c>
      <c r="F170" s="478">
        <v>0</v>
      </c>
      <c r="G170" s="477" t="e">
        <f t="shared" si="6"/>
        <v>#DIV/0!</v>
      </c>
    </row>
    <row r="171" spans="1:7" s="6" customFormat="1" ht="26.25" x14ac:dyDescent="0.4">
      <c r="A171" s="353" t="s">
        <v>81</v>
      </c>
      <c r="B171" s="439" t="s">
        <v>82</v>
      </c>
      <c r="C171" s="475">
        <f>SUM(C172+C178)</f>
        <v>114559.58645</v>
      </c>
      <c r="D171" s="476">
        <f>SUM(D172+D178)</f>
        <v>45096.060870000001</v>
      </c>
      <c r="E171" s="477">
        <f t="shared" si="10"/>
        <v>39.36472037604846</v>
      </c>
      <c r="F171" s="475">
        <f>SUM(F172+F178)</f>
        <v>34830.663939999999</v>
      </c>
      <c r="G171" s="477">
        <f t="shared" si="6"/>
        <v>129.47229759295826</v>
      </c>
    </row>
    <row r="172" spans="1:7" ht="26.25" x14ac:dyDescent="0.4">
      <c r="A172" s="530" t="s">
        <v>83</v>
      </c>
      <c r="B172" s="533" t="s">
        <v>225</v>
      </c>
      <c r="C172" s="478">
        <v>112459.58645</v>
      </c>
      <c r="D172" s="479">
        <v>43597.883450000001</v>
      </c>
      <c r="E172" s="477">
        <f t="shared" si="10"/>
        <v>38.767600723290762</v>
      </c>
      <c r="F172" s="479">
        <v>33746.498229999997</v>
      </c>
      <c r="G172" s="477">
        <f t="shared" si="6"/>
        <v>129.19231842325587</v>
      </c>
    </row>
    <row r="173" spans="1:7" ht="62.25" x14ac:dyDescent="0.4">
      <c r="A173" s="509" t="s">
        <v>519</v>
      </c>
      <c r="B173" s="520" t="s">
        <v>520</v>
      </c>
      <c r="C173" s="540">
        <v>14117.346</v>
      </c>
      <c r="D173" s="541">
        <v>2635.4160000000002</v>
      </c>
      <c r="E173" s="477">
        <f t="shared" si="10"/>
        <v>18.667928093566598</v>
      </c>
      <c r="F173" s="480">
        <v>332.04</v>
      </c>
      <c r="G173" s="477">
        <f t="shared" si="6"/>
        <v>793.70437296711236</v>
      </c>
    </row>
    <row r="174" spans="1:7" ht="42" x14ac:dyDescent="0.4">
      <c r="A174" s="509" t="s">
        <v>519</v>
      </c>
      <c r="B174" s="520" t="s">
        <v>521</v>
      </c>
      <c r="C174" s="540">
        <v>488.05</v>
      </c>
      <c r="D174" s="541">
        <v>0</v>
      </c>
      <c r="E174" s="477">
        <f t="shared" si="10"/>
        <v>0</v>
      </c>
      <c r="F174" s="480"/>
      <c r="G174" s="477" t="e">
        <f t="shared" si="6"/>
        <v>#DIV/0!</v>
      </c>
    </row>
    <row r="175" spans="1:7" ht="42" x14ac:dyDescent="0.4">
      <c r="A175" s="509" t="s">
        <v>519</v>
      </c>
      <c r="B175" s="520" t="s">
        <v>522</v>
      </c>
      <c r="C175" s="540">
        <v>4335.75</v>
      </c>
      <c r="D175" s="541">
        <v>2265.2840000000001</v>
      </c>
      <c r="E175" s="477">
        <f t="shared" si="10"/>
        <v>52.246647062215303</v>
      </c>
      <c r="F175" s="480">
        <v>470</v>
      </c>
      <c r="G175" s="477">
        <f t="shared" si="6"/>
        <v>481.97531914893614</v>
      </c>
    </row>
    <row r="176" spans="1:7" ht="26.25" x14ac:dyDescent="0.4">
      <c r="A176" s="509" t="s">
        <v>519</v>
      </c>
      <c r="B176" s="520" t="s">
        <v>549</v>
      </c>
      <c r="C176" s="540">
        <v>95.344440000000006</v>
      </c>
      <c r="D176" s="541"/>
      <c r="E176" s="477"/>
      <c r="F176" s="480"/>
      <c r="G176" s="477" t="e">
        <f t="shared" si="6"/>
        <v>#DIV/0!</v>
      </c>
    </row>
    <row r="177" spans="1:8" ht="38.25" customHeight="1" x14ac:dyDescent="0.4">
      <c r="A177" s="509" t="s">
        <v>551</v>
      </c>
      <c r="B177" s="520" t="s">
        <v>550</v>
      </c>
      <c r="C177" s="540">
        <v>18409.7</v>
      </c>
      <c r="D177" s="541">
        <v>0</v>
      </c>
      <c r="E177" s="477"/>
      <c r="F177" s="480"/>
      <c r="G177" s="477" t="e">
        <f t="shared" si="6"/>
        <v>#DIV/0!</v>
      </c>
    </row>
    <row r="178" spans="1:8" ht="32.25" customHeight="1" x14ac:dyDescent="0.4">
      <c r="A178" s="530" t="s">
        <v>254</v>
      </c>
      <c r="B178" s="441" t="s">
        <v>255</v>
      </c>
      <c r="C178" s="480">
        <v>2100</v>
      </c>
      <c r="D178" s="481">
        <v>1498.17742</v>
      </c>
      <c r="E178" s="477">
        <f t="shared" si="10"/>
        <v>71.341781904761902</v>
      </c>
      <c r="F178" s="479">
        <v>1084.16571</v>
      </c>
      <c r="G178" s="477">
        <f t="shared" si="6"/>
        <v>138.18712454943812</v>
      </c>
    </row>
    <row r="179" spans="1:8" s="6" customFormat="1" ht="26.25" x14ac:dyDescent="0.4">
      <c r="A179" s="359">
        <v>1000</v>
      </c>
      <c r="B179" s="439" t="s">
        <v>84</v>
      </c>
      <c r="C179" s="492">
        <f>SUM(C180+C181+C184+C188)</f>
        <v>50990.811979999999</v>
      </c>
      <c r="D179" s="542">
        <f>D180+D181+D184+D188</f>
        <v>41852.83956</v>
      </c>
      <c r="E179" s="477">
        <f t="shared" si="10"/>
        <v>82.079178453592462</v>
      </c>
      <c r="F179" s="543">
        <f>SUM(F180+F181+F184+F188)</f>
        <v>25048.016639999998</v>
      </c>
      <c r="G179" s="477">
        <f t="shared" si="6"/>
        <v>167.09043339249396</v>
      </c>
      <c r="H179" s="93"/>
    </row>
    <row r="180" spans="1:8" ht="26.25" x14ac:dyDescent="0.4">
      <c r="A180" s="536">
        <v>1001</v>
      </c>
      <c r="B180" s="537" t="s">
        <v>85</v>
      </c>
      <c r="C180" s="480">
        <v>200</v>
      </c>
      <c r="D180" s="481">
        <v>99.658379999999994</v>
      </c>
      <c r="E180" s="477">
        <f t="shared" si="10"/>
        <v>49.829189999999997</v>
      </c>
      <c r="F180" s="480">
        <v>0</v>
      </c>
      <c r="G180" s="477" t="e">
        <f t="shared" si="6"/>
        <v>#DIV/0!</v>
      </c>
    </row>
    <row r="181" spans="1:8" ht="26.25" x14ac:dyDescent="0.4">
      <c r="A181" s="536">
        <v>1003</v>
      </c>
      <c r="B181" s="537" t="s">
        <v>86</v>
      </c>
      <c r="C181" s="480">
        <v>11368.688099999999</v>
      </c>
      <c r="D181" s="481">
        <v>4517.0335100000002</v>
      </c>
      <c r="E181" s="477">
        <f t="shared" si="10"/>
        <v>39.732231813097243</v>
      </c>
      <c r="F181" s="479">
        <v>4128.5361899999998</v>
      </c>
      <c r="G181" s="477">
        <f t="shared" si="6"/>
        <v>109.41005000612579</v>
      </c>
    </row>
    <row r="182" spans="1:8" ht="48" customHeight="1" x14ac:dyDescent="0.4">
      <c r="A182" s="524" t="s">
        <v>510</v>
      </c>
      <c r="B182" s="521" t="s">
        <v>511</v>
      </c>
      <c r="C182" s="540">
        <v>893.49409000000003</v>
      </c>
      <c r="D182" s="541">
        <v>0</v>
      </c>
      <c r="E182" s="477">
        <f t="shared" si="10"/>
        <v>0</v>
      </c>
      <c r="F182" s="480"/>
      <c r="G182" s="477"/>
    </row>
    <row r="183" spans="1:8" ht="65.25" customHeight="1" x14ac:dyDescent="0.4">
      <c r="A183" s="524" t="s">
        <v>508</v>
      </c>
      <c r="B183" s="521" t="s">
        <v>492</v>
      </c>
      <c r="C183" s="540">
        <v>214.4</v>
      </c>
      <c r="D183" s="541">
        <v>114.4</v>
      </c>
      <c r="E183" s="477">
        <f t="shared" si="10"/>
        <v>53.358208955223887</v>
      </c>
      <c r="F183" s="540">
        <v>66.09</v>
      </c>
      <c r="G183" s="477"/>
    </row>
    <row r="184" spans="1:8" ht="26.25" x14ac:dyDescent="0.4">
      <c r="A184" s="536">
        <v>1004</v>
      </c>
      <c r="B184" s="537" t="s">
        <v>486</v>
      </c>
      <c r="C184" s="478">
        <v>39336.923880000002</v>
      </c>
      <c r="D184" s="488">
        <v>37205.361429999997</v>
      </c>
      <c r="E184" s="477">
        <f t="shared" si="10"/>
        <v>94.581268081605756</v>
      </c>
      <c r="F184" s="489">
        <v>20890.924129999999</v>
      </c>
      <c r="G184" s="477">
        <f t="shared" si="6"/>
        <v>178.09342084858741</v>
      </c>
    </row>
    <row r="185" spans="1:8" ht="26.25" x14ac:dyDescent="0.4">
      <c r="A185" s="524" t="s">
        <v>454</v>
      </c>
      <c r="B185" s="521" t="s">
        <v>487</v>
      </c>
      <c r="C185" s="525">
        <v>12584.95788</v>
      </c>
      <c r="D185" s="527">
        <v>12584.95788</v>
      </c>
      <c r="E185" s="477">
        <f t="shared" si="10"/>
        <v>100</v>
      </c>
      <c r="F185" s="554">
        <v>15576.65567</v>
      </c>
      <c r="G185" s="477"/>
    </row>
    <row r="186" spans="1:8" ht="26.25" x14ac:dyDescent="0.4">
      <c r="A186" s="524" t="s">
        <v>512</v>
      </c>
      <c r="B186" s="521" t="s">
        <v>488</v>
      </c>
      <c r="C186" s="525">
        <v>25479.366000000002</v>
      </c>
      <c r="D186" s="527">
        <v>24457.125</v>
      </c>
      <c r="E186" s="477">
        <f t="shared" si="10"/>
        <v>95.98796532064415</v>
      </c>
      <c r="F186" s="554">
        <v>2407.4160000000002</v>
      </c>
      <c r="G186" s="477"/>
    </row>
    <row r="187" spans="1:8" ht="42" x14ac:dyDescent="0.4">
      <c r="A187" s="524" t="s">
        <v>454</v>
      </c>
      <c r="B187" s="521" t="s">
        <v>489</v>
      </c>
      <c r="C187" s="540">
        <v>0</v>
      </c>
      <c r="D187" s="539">
        <v>0</v>
      </c>
      <c r="E187" s="477" t="e">
        <f t="shared" si="10"/>
        <v>#DIV/0!</v>
      </c>
      <c r="F187" s="554"/>
      <c r="G187" s="477"/>
    </row>
    <row r="188" spans="1:8" ht="28.5" customHeight="1" x14ac:dyDescent="0.4">
      <c r="A188" s="530" t="s">
        <v>88</v>
      </c>
      <c r="B188" s="533" t="s">
        <v>89</v>
      </c>
      <c r="C188" s="478">
        <v>85.2</v>
      </c>
      <c r="D188" s="479">
        <v>30.786239999999999</v>
      </c>
      <c r="E188" s="477">
        <f t="shared" si="10"/>
        <v>36.134084507042253</v>
      </c>
      <c r="F188" s="479">
        <v>28.556319999999999</v>
      </c>
      <c r="G188" s="477">
        <f t="shared" si="6"/>
        <v>107.80884931952018</v>
      </c>
    </row>
    <row r="189" spans="1:8" ht="26.25" x14ac:dyDescent="0.4">
      <c r="A189" s="353" t="s">
        <v>90</v>
      </c>
      <c r="B189" s="439" t="s">
        <v>91</v>
      </c>
      <c r="C189" s="475">
        <f>C190+C192+C194</f>
        <v>17285.738469999997</v>
      </c>
      <c r="D189" s="476">
        <f>D190+D192+D194</f>
        <v>12592.858850000001</v>
      </c>
      <c r="E189" s="477">
        <f t="shared" si="10"/>
        <v>72.851147620076205</v>
      </c>
      <c r="F189" s="475">
        <f>SUM(F190+F192)</f>
        <v>6555.8140000000003</v>
      </c>
      <c r="G189" s="477">
        <f t="shared" si="6"/>
        <v>192.0868842526649</v>
      </c>
    </row>
    <row r="190" spans="1:8" ht="26.25" x14ac:dyDescent="0.4">
      <c r="A190" s="530" t="s">
        <v>92</v>
      </c>
      <c r="B190" s="533" t="s">
        <v>93</v>
      </c>
      <c r="C190" s="478">
        <v>1008.8049999999999</v>
      </c>
      <c r="D190" s="479">
        <v>710.24085000000002</v>
      </c>
      <c r="E190" s="477">
        <f t="shared" si="10"/>
        <v>70.404176228309737</v>
      </c>
      <c r="F190" s="479">
        <v>423.80500000000001</v>
      </c>
      <c r="G190" s="477">
        <f t="shared" si="6"/>
        <v>167.58670850980994</v>
      </c>
    </row>
    <row r="191" spans="1:8" ht="38.25" customHeight="1" x14ac:dyDescent="0.4">
      <c r="A191" s="509" t="s">
        <v>513</v>
      </c>
      <c r="B191" s="520" t="s">
        <v>531</v>
      </c>
      <c r="C191" s="525">
        <v>1008.8</v>
      </c>
      <c r="D191" s="526">
        <v>710.24</v>
      </c>
      <c r="E191" s="477">
        <f t="shared" si="10"/>
        <v>70.404440919904843</v>
      </c>
      <c r="F191" s="525">
        <v>423.80500000000001</v>
      </c>
      <c r="G191" s="477">
        <f t="shared" si="6"/>
        <v>167.58650794587135</v>
      </c>
    </row>
    <row r="192" spans="1:8" ht="26.25" customHeight="1" x14ac:dyDescent="0.4">
      <c r="A192" s="530" t="s">
        <v>94</v>
      </c>
      <c r="B192" s="533" t="s">
        <v>95</v>
      </c>
      <c r="C192" s="478">
        <v>7747.2</v>
      </c>
      <c r="D192" s="479">
        <v>6820.06</v>
      </c>
      <c r="E192" s="477">
        <f t="shared" si="10"/>
        <v>88.032579512598105</v>
      </c>
      <c r="F192" s="479">
        <v>6132.009</v>
      </c>
      <c r="G192" s="477">
        <f t="shared" si="6"/>
        <v>111.22064563179865</v>
      </c>
    </row>
    <row r="193" spans="1:9" ht="44.25" customHeight="1" x14ac:dyDescent="0.4">
      <c r="A193" s="509" t="s">
        <v>513</v>
      </c>
      <c r="B193" s="520" t="s">
        <v>514</v>
      </c>
      <c r="C193" s="525">
        <v>7747.2</v>
      </c>
      <c r="D193" s="525">
        <v>6820.06</v>
      </c>
      <c r="E193" s="477">
        <f t="shared" si="10"/>
        <v>88.032579512598105</v>
      </c>
      <c r="F193" s="525">
        <v>4313.8270000000002</v>
      </c>
      <c r="G193" s="477">
        <f t="shared" si="6"/>
        <v>158.09767058345176</v>
      </c>
    </row>
    <row r="194" spans="1:9" ht="44.25" customHeight="1" x14ac:dyDescent="0.4">
      <c r="A194" s="530" t="s">
        <v>96</v>
      </c>
      <c r="B194" s="533" t="s">
        <v>97</v>
      </c>
      <c r="C194" s="478">
        <v>8529.7334699999992</v>
      </c>
      <c r="D194" s="548">
        <v>5062.558</v>
      </c>
      <c r="E194" s="477"/>
      <c r="F194" s="478"/>
      <c r="G194" s="477"/>
    </row>
    <row r="195" spans="1:9" ht="35.25" customHeight="1" x14ac:dyDescent="0.4">
      <c r="A195" s="353" t="s">
        <v>102</v>
      </c>
      <c r="B195" s="439" t="s">
        <v>103</v>
      </c>
      <c r="C195" s="475">
        <f>C196</f>
        <v>0</v>
      </c>
      <c r="D195" s="490">
        <f>D196</f>
        <v>0</v>
      </c>
      <c r="E195" s="477"/>
      <c r="F195" s="491">
        <v>0</v>
      </c>
      <c r="G195" s="477"/>
    </row>
    <row r="196" spans="1:9" ht="30" customHeight="1" x14ac:dyDescent="0.4">
      <c r="A196" s="530" t="s">
        <v>104</v>
      </c>
      <c r="B196" s="533" t="s">
        <v>105</v>
      </c>
      <c r="C196" s="478">
        <v>0</v>
      </c>
      <c r="D196" s="479">
        <v>0</v>
      </c>
      <c r="E196" s="477"/>
      <c r="F196" s="478">
        <v>0</v>
      </c>
      <c r="G196" s="477"/>
    </row>
    <row r="197" spans="1:9" ht="42.75" customHeight="1" x14ac:dyDescent="0.4">
      <c r="A197" s="353" t="s">
        <v>106</v>
      </c>
      <c r="B197" s="442" t="s">
        <v>107</v>
      </c>
      <c r="C197" s="492">
        <f>C198</f>
        <v>0</v>
      </c>
      <c r="D197" s="493">
        <v>0</v>
      </c>
      <c r="E197" s="477"/>
      <c r="F197" s="492">
        <v>0</v>
      </c>
      <c r="G197" s="477"/>
    </row>
    <row r="198" spans="1:9" ht="45.75" hidden="1" customHeight="1" x14ac:dyDescent="0.4">
      <c r="A198" s="530" t="s">
        <v>108</v>
      </c>
      <c r="B198" s="538" t="s">
        <v>529</v>
      </c>
      <c r="C198" s="480">
        <v>0</v>
      </c>
      <c r="D198" s="481">
        <v>0</v>
      </c>
      <c r="E198" s="477"/>
      <c r="F198" s="480">
        <v>0</v>
      </c>
      <c r="G198" s="477" t="e">
        <f t="shared" si="6"/>
        <v>#DIV/0!</v>
      </c>
    </row>
    <row r="199" spans="1:9" s="6" customFormat="1" ht="27" thickBot="1" x14ac:dyDescent="0.45">
      <c r="A199" s="359"/>
      <c r="B199" s="445" t="s">
        <v>113</v>
      </c>
      <c r="C199" s="494">
        <f>C82+C91+C93+C98+C121+C143+C148+C171+C179+C189+C195+C197</f>
        <v>1370157.9892899999</v>
      </c>
      <c r="D199" s="494">
        <f>D82+D91+D93+D98+D121+D143+D148+D171+D179+D189+D195+D197</f>
        <v>621603.59684000001</v>
      </c>
      <c r="E199" s="503">
        <f t="shared" si="10"/>
        <v>45.367293531026142</v>
      </c>
      <c r="F199" s="494">
        <f>F82+F91+F93+F98+F121+F143+F148+F171+F179+F189+F195+F197</f>
        <v>488207.54326999997</v>
      </c>
      <c r="G199" s="477">
        <f t="shared" si="6"/>
        <v>127.32363631182697</v>
      </c>
      <c r="H199" s="93"/>
      <c r="I199" s="93"/>
    </row>
    <row r="200" spans="1:9" ht="20.25" x14ac:dyDescent="0.3">
      <c r="A200" s="360"/>
      <c r="B200" s="361"/>
      <c r="C200" s="362"/>
      <c r="D200" s="373"/>
      <c r="E200" s="373"/>
      <c r="F200" s="373"/>
      <c r="G200" s="363"/>
    </row>
    <row r="201" spans="1:9" s="65" customFormat="1" ht="20.25" x14ac:dyDescent="0.3">
      <c r="A201" s="364" t="s">
        <v>444</v>
      </c>
      <c r="B201" s="364"/>
      <c r="C201" s="365"/>
      <c r="D201" s="365"/>
      <c r="E201" s="365"/>
      <c r="F201" s="365"/>
      <c r="G201" s="366"/>
    </row>
    <row r="202" spans="1:9" s="65" customFormat="1" ht="20.25" x14ac:dyDescent="0.3">
      <c r="A202" s="367" t="s">
        <v>430</v>
      </c>
      <c r="B202" s="367"/>
      <c r="C202" s="365" t="s">
        <v>431</v>
      </c>
      <c r="D202" s="365"/>
      <c r="E202" s="365"/>
      <c r="F202" s="365"/>
      <c r="G202" s="366"/>
    </row>
  </sheetData>
  <customSheetViews>
    <customSheetView guid="{4D5E6ACC-9055-4DE9-8C20-9052F3C35D19}" scale="62" showPageBreaks="1" printArea="1" hiddenRows="1" view="pageBreakPreview">
      <selection activeCell="A3" sqref="A3"/>
      <rowBreaks count="2" manualBreakCount="2">
        <brk id="79" max="6" man="1"/>
        <brk id="140" max="6" man="1"/>
      </rowBreaks>
      <pageMargins left="0.59055118110236227" right="0.55118110236220474" top="0.15748031496062992" bottom="0.15748031496062992" header="0.15748031496062992" footer="0.27559055118110237"/>
      <pageSetup paperSize="9" scale="32" orientation="portrait" r:id="rId1"/>
      <headerFooter alignWithMargins="0"/>
    </customSheetView>
    <customSheetView guid="{5C539BE6-C8E0-453F-AB5E-9E58094195EA}" scale="60" showPageBreaks="1" printArea="1" hiddenRows="1" view="pageBreakPreview">
      <selection activeCell="C12" sqref="C12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2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3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4"/>
      <headerFooter alignWithMargins="0"/>
    </customSheetView>
    <customSheetView guid="{1A52382B-3765-4E8C-903F-6B8919B7242E}" scale="67" showPageBreaks="1" hiddenRows="1" view="pageBreakPreview" topLeftCell="A125">
      <selection activeCell="G145" sqref="G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5"/>
      <headerFooter alignWithMargins="0"/>
    </customSheetView>
    <customSheetView guid="{B31C8DB7-3E78-4144-A6B5-8DE36DE63F0E}" scale="67" showPageBreaks="1" hiddenRows="1" view="pageBreakPreview" topLeftCell="A44">
      <selection activeCell="D120" sqref="D120"/>
      <rowBreaks count="1" manualBreakCount="1">
        <brk id="72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6"/>
      <headerFooter alignWithMargins="0"/>
    </customSheetView>
    <customSheetView guid="{5BFCA170-DEAE-4D2C-98A0-1E68B427AC01}" scale="67" showPageBreaks="1" view="pageBreakPreview">
      <selection activeCell="D146" sqref="D146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7"/>
      <headerFooter alignWithMargins="0"/>
    </customSheetView>
    <customSheetView guid="{B30CE22D-C12F-4E12-8BB9-3AAE0A6991CC}" scale="60" showPageBreaks="1" view="pageBreakPreview" topLeftCell="A43">
      <selection activeCell="D62" sqref="D62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8"/>
      <headerFooter alignWithMargins="0"/>
    </customSheetView>
    <customSheetView guid="{1718F1EE-9F48-4DBE-9531-3B70F9C4A5DD}" scale="60" showPageBreaks="1" view="pageBreakPreview">
      <selection activeCell="D4" sqref="D4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9"/>
      <headerFooter alignWithMargins="0"/>
    </customSheetView>
    <customSheetView guid="{3DCB9AAA-F09C-4EA6-B992-F93E466D374A}" scale="67" showPageBreaks="1" fitToPage="1" printArea="1" hiddenRows="1" view="pageBreakPreview" topLeftCell="A58">
      <selection activeCell="K84" sqref="K84"/>
      <rowBreaks count="1" manualBreakCount="1">
        <brk id="82" max="16383" man="1"/>
      </rowBreaks>
      <pageMargins left="0.59055118110236227" right="0.55118110236220474" top="0.15748031496062992" bottom="0.15748031496062992" header="0.15748031496062992" footer="0.27559055118110237"/>
      <pageSetup paperSize="9" scale="42" fitToHeight="2" orientation="portrait" r:id="rId10"/>
      <headerFooter alignWithMargins="0"/>
    </customSheetView>
    <customSheetView guid="{F85EE840-0C31-454A-8951-832C2E9E0600}" scale="60" showPageBreaks="1" printArea="1" view="pageBreakPreview" topLeftCell="A95">
      <selection activeCell="D73" sqref="D73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0" orientation="portrait" r:id="rId11"/>
      <headerFooter alignWithMargins="0"/>
    </customSheetView>
    <customSheetView guid="{F1E84C44-1ACD-474A-BDE0-C7088DB6C590}" scale="62" showPageBreaks="1" printArea="1" view="pageBreakPreview" topLeftCell="A63">
      <selection activeCell="B80" sqref="B80:G183"/>
      <rowBreaks count="2" manualBreakCount="2">
        <brk id="79" max="5" man="1"/>
        <brk id="141" max="6" man="1"/>
      </rowBreaks>
      <pageMargins left="0.59055118110236227" right="0.55118110236220474" top="0.15748031496062992" bottom="0.15748031496062992" header="0.15748031496062992" footer="0.27559055118110237"/>
      <pageSetup paperSize="9" scale="35" orientation="portrait" r:id="rId12"/>
      <headerFooter alignWithMargins="0"/>
    </customSheetView>
    <customSheetView guid="{61528DAC-5C4C-48F4-ADE2-8A724B05A086}" scale="62" showPageBreaks="1" printArea="1" hiddenRows="1" view="pageBreakPreview" topLeftCell="A67">
      <selection activeCell="C199" sqref="C199:D199"/>
      <rowBreaks count="2" manualBreakCount="2">
        <brk id="79" max="6" man="1"/>
        <brk id="140" max="6" man="1"/>
      </rowBreaks>
      <pageMargins left="0.59055118110236227" right="0.55118110236220474" top="0.15748031496062992" bottom="0.15748031496062992" header="0.15748031496062992" footer="0.27559055118110237"/>
      <pageSetup paperSize="9" scale="32" orientation="portrait" r:id="rId13"/>
      <headerFooter alignWithMargins="0"/>
    </customSheetView>
  </customSheetViews>
  <phoneticPr fontId="0" type="noConversion"/>
  <pageMargins left="0.59055118110236227" right="0.55118110236220474" top="0.15748031496062992" bottom="0.15748031496062992" header="0.15748031496062992" footer="0.27559055118110237"/>
  <pageSetup paperSize="9" scale="32" orientation="portrait" r:id="rId14"/>
  <headerFooter alignWithMargins="0"/>
  <rowBreaks count="2" manualBreakCount="2">
    <brk id="79" max="6" man="1"/>
    <brk id="140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4D5E6ACC-9055-4DE9-8C20-9052F3C35D19}" state="hidden">
      <pageMargins left="0.7" right="0.7" top="0.75" bottom="0.75" header="0.3" footer="0.3"/>
    </customSheetView>
    <customSheetView guid="{F85EE840-0C31-454A-8951-832C2E9E0600}" state="hidden">
      <pageMargins left="0.7" right="0.7" top="0.75" bottom="0.75" header="0.3" footer="0.3"/>
    </customSheetView>
    <customSheetView guid="{F1E84C44-1ACD-474A-BDE0-C7088DB6C590}" state="hidden">
      <pageMargins left="0.7" right="0.7" top="0.75" bottom="0.75" header="0.3" footer="0.3"/>
    </customSheetView>
    <customSheetView guid="{61528DAC-5C4C-48F4-ADE2-8A724B05A08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K142"/>
  <sheetViews>
    <sheetView view="pageBreakPreview" topLeftCell="A35" zoomScale="70" zoomScaleNormal="100" zoomScaleSheetLayoutView="70" workbookViewId="0">
      <selection activeCell="D85" sqref="D85"/>
    </sheetView>
  </sheetViews>
  <sheetFormatPr defaultRowHeight="15.75" x14ac:dyDescent="0.2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 x14ac:dyDescent="0.25">
      <c r="A1" s="599" t="s">
        <v>408</v>
      </c>
      <c r="B1" s="599"/>
      <c r="C1" s="599"/>
      <c r="D1" s="599"/>
      <c r="E1" s="599"/>
      <c r="F1" s="599"/>
    </row>
    <row r="2" spans="1:6" x14ac:dyDescent="0.25">
      <c r="A2" s="599"/>
      <c r="B2" s="599"/>
      <c r="C2" s="599"/>
      <c r="D2" s="599"/>
      <c r="E2" s="599"/>
      <c r="F2" s="599"/>
    </row>
    <row r="3" spans="1:6" ht="63" x14ac:dyDescent="0.25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 x14ac:dyDescent="0.25">
      <c r="A4" s="3"/>
      <c r="B4" s="4" t="s">
        <v>4</v>
      </c>
      <c r="C4" s="5">
        <f>C5+C7+C12+C14+C17+C20</f>
        <v>613.77</v>
      </c>
      <c r="D4" s="5">
        <f>D5+D12+D14+D17+D20+D7</f>
        <v>633.27000999999996</v>
      </c>
      <c r="E4" s="5">
        <f>SUM(D4/C4*100)</f>
        <v>103.17708750835001</v>
      </c>
      <c r="F4" s="5">
        <f>SUM(D4-C4)</f>
        <v>19.500009999999975</v>
      </c>
    </row>
    <row r="5" spans="1:6" s="6" customFormat="1" x14ac:dyDescent="0.25">
      <c r="A5" s="68">
        <v>1010000000</v>
      </c>
      <c r="B5" s="67" t="s">
        <v>5</v>
      </c>
      <c r="C5" s="5">
        <f>C6</f>
        <v>81</v>
      </c>
      <c r="D5" s="5">
        <f>D6</f>
        <v>81.830629999999999</v>
      </c>
      <c r="E5" s="5">
        <f t="shared" ref="E5:E47" si="0">SUM(D5/C5*100)</f>
        <v>101.02546913580245</v>
      </c>
      <c r="F5" s="5">
        <f t="shared" ref="F5:F47" si="1">SUM(D5-C5)</f>
        <v>0.83062999999999931</v>
      </c>
    </row>
    <row r="6" spans="1:6" x14ac:dyDescent="0.25">
      <c r="A6" s="7">
        <v>1010200001</v>
      </c>
      <c r="B6" s="8" t="s">
        <v>220</v>
      </c>
      <c r="C6" s="9">
        <v>81</v>
      </c>
      <c r="D6" s="10">
        <v>81.830629999999999</v>
      </c>
      <c r="E6" s="9">
        <f t="shared" ref="E6:E11" si="2">SUM(D6/C6*100)</f>
        <v>101.02546913580245</v>
      </c>
      <c r="F6" s="9">
        <f t="shared" si="1"/>
        <v>0.83062999999999931</v>
      </c>
    </row>
    <row r="7" spans="1:6" ht="31.5" x14ac:dyDescent="0.25">
      <c r="A7" s="3">
        <v>1030000000</v>
      </c>
      <c r="B7" s="13" t="s">
        <v>259</v>
      </c>
      <c r="C7" s="5">
        <f>C8+C10+C9</f>
        <v>286.77</v>
      </c>
      <c r="D7" s="5">
        <f>D8+D10+D9+D11</f>
        <v>339.03285</v>
      </c>
      <c r="E7" s="9">
        <f t="shared" si="2"/>
        <v>118.22465739094048</v>
      </c>
      <c r="F7" s="9">
        <f t="shared" si="1"/>
        <v>52.262850000000014</v>
      </c>
    </row>
    <row r="8" spans="1:6" x14ac:dyDescent="0.25">
      <c r="A8" s="7">
        <v>1030223001</v>
      </c>
      <c r="B8" s="8" t="s">
        <v>261</v>
      </c>
      <c r="C8" s="9">
        <v>106.965</v>
      </c>
      <c r="D8" s="10">
        <v>169.95956000000001</v>
      </c>
      <c r="E8" s="9">
        <f t="shared" si="2"/>
        <v>158.8926845229748</v>
      </c>
      <c r="F8" s="9">
        <f t="shared" si="1"/>
        <v>62.994560000000007</v>
      </c>
    </row>
    <row r="9" spans="1:6" x14ac:dyDescent="0.25">
      <c r="A9" s="7">
        <v>1030224001</v>
      </c>
      <c r="B9" s="8" t="s">
        <v>265</v>
      </c>
      <c r="C9" s="9">
        <v>1.147</v>
      </c>
      <c r="D9" s="10">
        <v>0.91805000000000003</v>
      </c>
      <c r="E9" s="9">
        <f t="shared" si="2"/>
        <v>80.039232781168266</v>
      </c>
      <c r="F9" s="9">
        <f t="shared" si="1"/>
        <v>-0.22894999999999999</v>
      </c>
    </row>
    <row r="10" spans="1:6" x14ac:dyDescent="0.25">
      <c r="A10" s="7">
        <v>1030225001</v>
      </c>
      <c r="B10" s="8" t="s">
        <v>260</v>
      </c>
      <c r="C10" s="9">
        <v>178.65799999999999</v>
      </c>
      <c r="D10" s="10">
        <v>187.65454</v>
      </c>
      <c r="E10" s="9">
        <f t="shared" si="2"/>
        <v>105.03562113087577</v>
      </c>
      <c r="F10" s="9">
        <f t="shared" si="1"/>
        <v>8.9965400000000102</v>
      </c>
    </row>
    <row r="11" spans="1:6" x14ac:dyDescent="0.25">
      <c r="A11" s="7">
        <v>1030226001</v>
      </c>
      <c r="B11" s="8" t="s">
        <v>266</v>
      </c>
      <c r="C11" s="9">
        <v>0</v>
      </c>
      <c r="D11" s="10">
        <v>-19.499300000000002</v>
      </c>
      <c r="E11" s="9" t="e">
        <f t="shared" si="2"/>
        <v>#DIV/0!</v>
      </c>
      <c r="F11" s="9">
        <f t="shared" si="1"/>
        <v>-19.499300000000002</v>
      </c>
    </row>
    <row r="12" spans="1:6" s="6" customFormat="1" x14ac:dyDescent="0.25">
      <c r="A12" s="68">
        <v>1050000000</v>
      </c>
      <c r="B12" s="67" t="s">
        <v>6</v>
      </c>
      <c r="C12" s="5">
        <f>C13</f>
        <v>10</v>
      </c>
      <c r="D12" s="5">
        <f>D13</f>
        <v>0</v>
      </c>
      <c r="E12" s="5">
        <f t="shared" si="0"/>
        <v>0</v>
      </c>
      <c r="F12" s="5">
        <f t="shared" si="1"/>
        <v>-10</v>
      </c>
    </row>
    <row r="13" spans="1:6" ht="15.75" customHeight="1" x14ac:dyDescent="0.25">
      <c r="A13" s="7">
        <v>1050300000</v>
      </c>
      <c r="B13" s="11" t="s">
        <v>221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 x14ac:dyDescent="0.25">
      <c r="A14" s="68">
        <v>1060000000</v>
      </c>
      <c r="B14" s="67" t="s">
        <v>129</v>
      </c>
      <c r="C14" s="5">
        <f>C15+C16</f>
        <v>233</v>
      </c>
      <c r="D14" s="5">
        <f>D15+D16</f>
        <v>211.30653000000001</v>
      </c>
      <c r="E14" s="5">
        <f t="shared" si="0"/>
        <v>90.68949785407726</v>
      </c>
      <c r="F14" s="5">
        <f t="shared" si="1"/>
        <v>-21.693469999999991</v>
      </c>
    </row>
    <row r="15" spans="1:6" s="6" customFormat="1" ht="15.75" customHeight="1" x14ac:dyDescent="0.25">
      <c r="A15" s="7">
        <v>1060100000</v>
      </c>
      <c r="B15" s="11" t="s">
        <v>8</v>
      </c>
      <c r="C15" s="9">
        <v>86</v>
      </c>
      <c r="D15" s="10">
        <v>68.343940000000003</v>
      </c>
      <c r="E15" s="9">
        <f t="shared" si="0"/>
        <v>79.469697674418597</v>
      </c>
      <c r="F15" s="9">
        <f>SUM(D15-C15)</f>
        <v>-17.656059999999997</v>
      </c>
    </row>
    <row r="16" spans="1:6" ht="15" customHeight="1" x14ac:dyDescent="0.25">
      <c r="A16" s="7">
        <v>1060600000</v>
      </c>
      <c r="B16" s="11" t="s">
        <v>7</v>
      </c>
      <c r="C16" s="9">
        <v>147</v>
      </c>
      <c r="D16" s="10">
        <v>142.96259000000001</v>
      </c>
      <c r="E16" s="9">
        <f t="shared" si="0"/>
        <v>97.253462585034029</v>
      </c>
      <c r="F16" s="9">
        <f t="shared" si="1"/>
        <v>-4.0374099999999942</v>
      </c>
    </row>
    <row r="17" spans="1:6" s="6" customFormat="1" ht="15" customHeight="1" x14ac:dyDescent="0.25">
      <c r="A17" s="3">
        <v>1080000000</v>
      </c>
      <c r="B17" s="4" t="s">
        <v>10</v>
      </c>
      <c r="C17" s="5">
        <f>C18</f>
        <v>3</v>
      </c>
      <c r="D17" s="5">
        <f>D18</f>
        <v>1.1000000000000001</v>
      </c>
      <c r="E17" s="9">
        <f t="shared" si="0"/>
        <v>36.666666666666671</v>
      </c>
      <c r="F17" s="5">
        <f t="shared" si="1"/>
        <v>-1.9</v>
      </c>
    </row>
    <row r="18" spans="1:6" ht="18.75" customHeight="1" x14ac:dyDescent="0.25">
      <c r="A18" s="7">
        <v>1080402001</v>
      </c>
      <c r="B18" s="8" t="s">
        <v>219</v>
      </c>
      <c r="C18" s="9">
        <v>3</v>
      </c>
      <c r="D18" s="10">
        <v>1.1000000000000001</v>
      </c>
      <c r="E18" s="9">
        <f t="shared" si="0"/>
        <v>36.666666666666671</v>
      </c>
      <c r="F18" s="9">
        <f t="shared" si="1"/>
        <v>-1.9</v>
      </c>
    </row>
    <row r="19" spans="1:6" ht="15" hidden="1" customHeight="1" x14ac:dyDescent="0.25">
      <c r="A19" s="7">
        <v>1080714001</v>
      </c>
      <c r="B19" s="8" t="s">
        <v>218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 x14ac:dyDescent="0.25">
      <c r="A20" s="68">
        <v>1090000000</v>
      </c>
      <c r="B20" s="69" t="s">
        <v>222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 x14ac:dyDescent="0.25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 x14ac:dyDescent="0.25">
      <c r="A22" s="7">
        <v>1090400000</v>
      </c>
      <c r="B22" s="8" t="s">
        <v>119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 x14ac:dyDescent="0.25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 x14ac:dyDescent="0.25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 x14ac:dyDescent="0.25">
      <c r="A25" s="3"/>
      <c r="B25" s="4" t="s">
        <v>12</v>
      </c>
      <c r="C25" s="5">
        <f>C26+C31+C34+C29</f>
        <v>484.851</v>
      </c>
      <c r="D25" s="5">
        <f>D26+D31+D34+D29</f>
        <v>495.57823999999994</v>
      </c>
      <c r="E25" s="5">
        <f t="shared" si="0"/>
        <v>102.21248177275079</v>
      </c>
      <c r="F25" s="5">
        <f t="shared" si="1"/>
        <v>10.727239999999938</v>
      </c>
    </row>
    <row r="26" spans="1:6" s="6" customFormat="1" ht="30" customHeight="1" x14ac:dyDescent="0.25">
      <c r="A26" s="68">
        <v>1110000000</v>
      </c>
      <c r="B26" s="69" t="s">
        <v>122</v>
      </c>
      <c r="C26" s="5">
        <f>C27+C28</f>
        <v>50</v>
      </c>
      <c r="D26" s="5">
        <f>D27+D28</f>
        <v>54.284680000000002</v>
      </c>
      <c r="E26" s="5">
        <f t="shared" si="0"/>
        <v>108.56935999999999</v>
      </c>
      <c r="F26" s="5">
        <f t="shared" si="1"/>
        <v>4.2846800000000016</v>
      </c>
    </row>
    <row r="27" spans="1:6" ht="22.5" customHeight="1" x14ac:dyDescent="0.25">
      <c r="A27" s="16">
        <v>1110502000</v>
      </c>
      <c r="B27" s="17" t="s">
        <v>217</v>
      </c>
      <c r="C27" s="12">
        <v>50</v>
      </c>
      <c r="D27" s="10">
        <v>54.284680000000002</v>
      </c>
      <c r="E27" s="9">
        <f t="shared" si="0"/>
        <v>108.56935999999999</v>
      </c>
      <c r="F27" s="9">
        <f t="shared" si="1"/>
        <v>4.2846800000000016</v>
      </c>
    </row>
    <row r="28" spans="1:6" hidden="1" x14ac:dyDescent="0.25">
      <c r="A28" s="7">
        <v>1110503505</v>
      </c>
      <c r="B28" s="11" t="s">
        <v>216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4.75" customHeight="1" x14ac:dyDescent="0.25">
      <c r="A29" s="68">
        <v>1130000000</v>
      </c>
      <c r="B29" s="69" t="s">
        <v>124</v>
      </c>
      <c r="C29" s="5">
        <f>C30</f>
        <v>0</v>
      </c>
      <c r="D29" s="5">
        <f>D30</f>
        <v>0.35255999999999998</v>
      </c>
      <c r="E29" s="9" t="e">
        <f t="shared" si="0"/>
        <v>#DIV/0!</v>
      </c>
      <c r="F29" s="5">
        <f t="shared" si="1"/>
        <v>0.35255999999999998</v>
      </c>
    </row>
    <row r="30" spans="1:6" ht="22.5" customHeight="1" x14ac:dyDescent="0.25">
      <c r="A30" s="7">
        <v>1130200000</v>
      </c>
      <c r="B30" s="8" t="s">
        <v>398</v>
      </c>
      <c r="C30" s="9">
        <v>0</v>
      </c>
      <c r="D30" s="10">
        <v>0.35255999999999998</v>
      </c>
      <c r="E30" s="9" t="e">
        <f t="shared" si="0"/>
        <v>#DIV/0!</v>
      </c>
      <c r="F30" s="9">
        <f t="shared" si="1"/>
        <v>0.35255999999999998</v>
      </c>
    </row>
    <row r="31" spans="1:6" ht="21.75" customHeight="1" x14ac:dyDescent="0.25">
      <c r="A31" s="70">
        <v>1140000000</v>
      </c>
      <c r="B31" s="71" t="s">
        <v>125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customHeight="1" x14ac:dyDescent="0.25">
      <c r="A32" s="16">
        <v>1140200000</v>
      </c>
      <c r="B32" s="18" t="s">
        <v>213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21.75" customHeight="1" x14ac:dyDescent="0.25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 ht="20.25" customHeight="1" x14ac:dyDescent="0.25">
      <c r="A34" s="3">
        <v>1170000000</v>
      </c>
      <c r="B34" s="13" t="s">
        <v>128</v>
      </c>
      <c r="C34" s="5">
        <f>SUM(C36)</f>
        <v>434.851</v>
      </c>
      <c r="D34" s="242">
        <f>D35+D36</f>
        <v>440.94099999999997</v>
      </c>
      <c r="E34" s="9">
        <f t="shared" si="0"/>
        <v>101.40047970454246</v>
      </c>
      <c r="F34" s="5">
        <f t="shared" si="1"/>
        <v>6.089999999999975</v>
      </c>
    </row>
    <row r="35" spans="1:11" ht="18" customHeight="1" x14ac:dyDescent="0.25">
      <c r="A35" s="7">
        <v>1170105005</v>
      </c>
      <c r="B35" s="8" t="s">
        <v>15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15.75" customHeight="1" x14ac:dyDescent="0.25">
      <c r="A36" s="7">
        <v>1171503010</v>
      </c>
      <c r="B36" s="8" t="s">
        <v>405</v>
      </c>
      <c r="C36" s="9">
        <v>434.851</v>
      </c>
      <c r="D36" s="10">
        <v>440.94099999999997</v>
      </c>
      <c r="E36" s="9">
        <f t="shared" si="0"/>
        <v>101.40047970454246</v>
      </c>
      <c r="F36" s="9">
        <f t="shared" si="1"/>
        <v>6.089999999999975</v>
      </c>
    </row>
    <row r="37" spans="1:11" s="6" customFormat="1" x14ac:dyDescent="0.25">
      <c r="A37" s="3">
        <v>1000000000</v>
      </c>
      <c r="B37" s="4" t="s">
        <v>16</v>
      </c>
      <c r="C37" s="125">
        <f>C25+C4</f>
        <v>1098.6210000000001</v>
      </c>
      <c r="D37" s="125">
        <f>SUM(D4,D25)</f>
        <v>1128.84825</v>
      </c>
      <c r="E37" s="5">
        <f t="shared" si="0"/>
        <v>102.75138104951571</v>
      </c>
      <c r="F37" s="5">
        <f t="shared" si="1"/>
        <v>30.227249999999913</v>
      </c>
    </row>
    <row r="38" spans="1:11" s="6" customFormat="1" x14ac:dyDescent="0.25">
      <c r="A38" s="3">
        <v>2000000000</v>
      </c>
      <c r="B38" s="4" t="s">
        <v>17</v>
      </c>
      <c r="C38" s="187">
        <f>C39+C40+C41+C42+C43+C44</f>
        <v>6035.02927</v>
      </c>
      <c r="D38" s="187">
        <f>D39+D40+D41+D42+D43+D45+D44</f>
        <v>6035.02927</v>
      </c>
      <c r="E38" s="5">
        <f t="shared" si="0"/>
        <v>100</v>
      </c>
      <c r="F38" s="5">
        <f t="shared" si="1"/>
        <v>0</v>
      </c>
      <c r="G38" s="19"/>
    </row>
    <row r="39" spans="1:11" ht="13.5" customHeight="1" x14ac:dyDescent="0.25">
      <c r="A39" s="16">
        <v>2021000000</v>
      </c>
      <c r="B39" s="17" t="s">
        <v>18</v>
      </c>
      <c r="C39" s="216">
        <v>1839.6</v>
      </c>
      <c r="D39" s="20">
        <v>1839.6</v>
      </c>
      <c r="E39" s="9">
        <f t="shared" si="0"/>
        <v>100</v>
      </c>
      <c r="F39" s="9">
        <f t="shared" si="1"/>
        <v>0</v>
      </c>
    </row>
    <row r="40" spans="1:11" ht="15" hidden="1" customHeight="1" x14ac:dyDescent="0.25">
      <c r="A40" s="16">
        <v>2021500200</v>
      </c>
      <c r="B40" s="17" t="s">
        <v>223</v>
      </c>
      <c r="C40" s="213">
        <v>0</v>
      </c>
      <c r="D40" s="20">
        <v>0</v>
      </c>
      <c r="E40" s="9" t="e">
        <f>SUM(D40/C40*100)</f>
        <v>#DIV/0!</v>
      </c>
      <c r="F40" s="9">
        <f>SUM(D40-C40)</f>
        <v>0</v>
      </c>
    </row>
    <row r="41" spans="1:11" x14ac:dyDescent="0.25">
      <c r="A41" s="16">
        <v>2022000000</v>
      </c>
      <c r="B41" s="17" t="s">
        <v>19</v>
      </c>
      <c r="C41" s="213">
        <v>2800.9644899999998</v>
      </c>
      <c r="D41" s="10">
        <v>2800.9644899999998</v>
      </c>
      <c r="E41" s="9">
        <f t="shared" si="0"/>
        <v>100</v>
      </c>
      <c r="F41" s="9">
        <f t="shared" si="1"/>
        <v>0</v>
      </c>
    </row>
    <row r="42" spans="1:11" ht="19.5" customHeight="1" x14ac:dyDescent="0.25">
      <c r="A42" s="16">
        <v>2023000000</v>
      </c>
      <c r="B42" s="17" t="s">
        <v>20</v>
      </c>
      <c r="C42" s="213">
        <v>108.54452999999999</v>
      </c>
      <c r="D42" s="180">
        <v>108.54452999999999</v>
      </c>
      <c r="E42" s="9">
        <f t="shared" si="0"/>
        <v>100</v>
      </c>
      <c r="F42" s="9">
        <f t="shared" si="1"/>
        <v>0</v>
      </c>
    </row>
    <row r="43" spans="1:11" x14ac:dyDescent="0.25">
      <c r="A43" s="7">
        <v>2070500010</v>
      </c>
      <c r="B43" s="17" t="s">
        <v>281</v>
      </c>
      <c r="C43" s="213">
        <v>0</v>
      </c>
      <c r="D43" s="181"/>
      <c r="E43" s="9" t="e">
        <f t="shared" si="0"/>
        <v>#DIV/0!</v>
      </c>
      <c r="F43" s="9">
        <f t="shared" si="1"/>
        <v>0</v>
      </c>
    </row>
    <row r="44" spans="1:11" ht="15.75" customHeight="1" x14ac:dyDescent="0.25">
      <c r="A44" s="16">
        <v>2024000000</v>
      </c>
      <c r="B44" s="18" t="s">
        <v>21</v>
      </c>
      <c r="C44" s="213">
        <v>1285.9202499999999</v>
      </c>
      <c r="D44" s="181">
        <v>1285.9202499999999</v>
      </c>
      <c r="E44" s="9">
        <f t="shared" si="0"/>
        <v>100</v>
      </c>
      <c r="F44" s="9">
        <f t="shared" si="1"/>
        <v>0</v>
      </c>
    </row>
    <row r="45" spans="1:11" ht="17.25" customHeight="1" x14ac:dyDescent="0.25">
      <c r="A45" s="7">
        <v>2190000010</v>
      </c>
      <c r="B45" s="11" t="s">
        <v>23</v>
      </c>
      <c r="C45" s="221">
        <v>0</v>
      </c>
      <c r="D45" s="210">
        <v>0</v>
      </c>
      <c r="E45" s="5" t="e">
        <f t="shared" si="0"/>
        <v>#DIV/0!</v>
      </c>
      <c r="F45" s="5">
        <f>SUM(D45-C45)</f>
        <v>0</v>
      </c>
    </row>
    <row r="46" spans="1:11" s="372" customFormat="1" ht="17.25" customHeight="1" x14ac:dyDescent="0.25">
      <c r="A46" s="3">
        <v>3000000000</v>
      </c>
      <c r="B46" s="13" t="s">
        <v>24</v>
      </c>
      <c r="C46" s="222">
        <v>0</v>
      </c>
      <c r="D46" s="223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 x14ac:dyDescent="0.25">
      <c r="A47" s="267"/>
      <c r="B47" s="268" t="s">
        <v>25</v>
      </c>
      <c r="C47" s="400">
        <f>C37+C38</f>
        <v>7133.6502700000001</v>
      </c>
      <c r="D47" s="392">
        <f>D37+D38</f>
        <v>7163.87752</v>
      </c>
      <c r="E47" s="269">
        <f t="shared" si="0"/>
        <v>100.42372766894836</v>
      </c>
      <c r="F47" s="269">
        <f t="shared" si="1"/>
        <v>30.227249999999913</v>
      </c>
      <c r="G47" s="193"/>
      <c r="H47" s="193"/>
      <c r="K47" s="128"/>
    </row>
    <row r="48" spans="1:11" s="6" customFormat="1" x14ac:dyDescent="0.25">
      <c r="A48" s="3"/>
      <c r="B48" s="21" t="s">
        <v>300</v>
      </c>
      <c r="C48" s="397">
        <f>C47-C94</f>
        <v>-761.5639599999995</v>
      </c>
      <c r="D48" s="5">
        <f>D47-D94</f>
        <v>-548.79468000000088</v>
      </c>
      <c r="E48" s="22"/>
      <c r="F48" s="22"/>
    </row>
    <row r="49" spans="1:6" x14ac:dyDescent="0.25">
      <c r="A49" s="23"/>
      <c r="B49" s="24"/>
      <c r="C49" s="179"/>
      <c r="D49" s="179"/>
      <c r="E49" s="26"/>
      <c r="F49" s="91"/>
    </row>
    <row r="50" spans="1:6" ht="50.25" customHeight="1" x14ac:dyDescent="0.25">
      <c r="A50" s="28" t="s">
        <v>0</v>
      </c>
      <c r="B50" s="28" t="s">
        <v>26</v>
      </c>
      <c r="C50" s="174" t="s">
        <v>394</v>
      </c>
      <c r="D50" s="399" t="s">
        <v>409</v>
      </c>
      <c r="E50" s="72" t="s">
        <v>2</v>
      </c>
      <c r="F50" s="73" t="s">
        <v>3</v>
      </c>
    </row>
    <row r="51" spans="1:6" x14ac:dyDescent="0.25">
      <c r="A51" s="87">
        <v>1</v>
      </c>
      <c r="B51" s="86">
        <v>2</v>
      </c>
      <c r="C51" s="86">
        <v>3</v>
      </c>
      <c r="D51" s="86">
        <v>4</v>
      </c>
      <c r="E51" s="86">
        <v>5</v>
      </c>
      <c r="F51" s="86">
        <v>6</v>
      </c>
    </row>
    <row r="52" spans="1:6" s="6" customFormat="1" ht="30.75" customHeight="1" x14ac:dyDescent="0.25">
      <c r="A52" s="30" t="s">
        <v>27</v>
      </c>
      <c r="B52" s="31" t="s">
        <v>28</v>
      </c>
      <c r="C52" s="22">
        <f>C54+C57+C58+C59</f>
        <v>1412.83718</v>
      </c>
      <c r="D52" s="22">
        <f>D54+D57+D58+D59</f>
        <v>1397.4266400000001</v>
      </c>
      <c r="E52" s="34">
        <f>SUM(D52/C52*100)</f>
        <v>98.909248693469422</v>
      </c>
      <c r="F52" s="34">
        <f>SUM(D52-C52)</f>
        <v>-15.410539999999855</v>
      </c>
    </row>
    <row r="53" spans="1:6" s="6" customFormat="1" ht="1.5" customHeight="1" x14ac:dyDescent="0.25">
      <c r="A53" s="35" t="s">
        <v>29</v>
      </c>
      <c r="B53" s="36" t="s">
        <v>30</v>
      </c>
      <c r="C53" s="91"/>
      <c r="D53" s="91"/>
      <c r="E53" s="38"/>
      <c r="F53" s="38"/>
    </row>
    <row r="54" spans="1:6" ht="16.5" customHeight="1" x14ac:dyDescent="0.25">
      <c r="A54" s="35" t="s">
        <v>31</v>
      </c>
      <c r="B54" s="39" t="s">
        <v>32</v>
      </c>
      <c r="C54" s="91">
        <v>1409.1871799999999</v>
      </c>
      <c r="D54" s="91">
        <v>1394.77664</v>
      </c>
      <c r="E54" s="38">
        <f>SUM(D54/C54*100)</f>
        <v>98.977386382410899</v>
      </c>
      <c r="F54" s="38">
        <f t="shared" ref="F54:F94" si="3">SUM(D54-C54)</f>
        <v>-14.410539999999855</v>
      </c>
    </row>
    <row r="55" spans="1:6" ht="0.75" hidden="1" customHeight="1" x14ac:dyDescent="0.25">
      <c r="A55" s="35" t="s">
        <v>33</v>
      </c>
      <c r="B55" s="39" t="s">
        <v>34</v>
      </c>
      <c r="C55" s="91"/>
      <c r="D55" s="91"/>
      <c r="E55" s="38"/>
      <c r="F55" s="38">
        <f t="shared" si="3"/>
        <v>0</v>
      </c>
    </row>
    <row r="56" spans="1:6" ht="15.75" hidden="1" customHeight="1" x14ac:dyDescent="0.25">
      <c r="A56" s="35" t="s">
        <v>35</v>
      </c>
      <c r="B56" s="39" t="s">
        <v>36</v>
      </c>
      <c r="C56" s="91"/>
      <c r="D56" s="91"/>
      <c r="E56" s="38" t="e">
        <f t="shared" ref="E56:E94" si="4">SUM(D56/C56*100)</f>
        <v>#DIV/0!</v>
      </c>
      <c r="F56" s="38">
        <f t="shared" si="3"/>
        <v>0</v>
      </c>
    </row>
    <row r="57" spans="1:6" ht="1.5" customHeight="1" x14ac:dyDescent="0.25">
      <c r="A57" s="35" t="s">
        <v>37</v>
      </c>
      <c r="B57" s="39" t="s">
        <v>38</v>
      </c>
      <c r="C57" s="91">
        <v>0</v>
      </c>
      <c r="D57" s="91">
        <v>0</v>
      </c>
      <c r="E57" s="38" t="e">
        <f t="shared" si="4"/>
        <v>#DIV/0!</v>
      </c>
      <c r="F57" s="38">
        <f t="shared" si="3"/>
        <v>0</v>
      </c>
    </row>
    <row r="58" spans="1:6" ht="17.25" customHeight="1" x14ac:dyDescent="0.25">
      <c r="A58" s="35" t="s">
        <v>39</v>
      </c>
      <c r="B58" s="39" t="s">
        <v>40</v>
      </c>
      <c r="C58" s="102">
        <v>1</v>
      </c>
      <c r="D58" s="102">
        <v>0</v>
      </c>
      <c r="E58" s="38">
        <f t="shared" si="4"/>
        <v>0</v>
      </c>
      <c r="F58" s="38">
        <f t="shared" si="3"/>
        <v>-1</v>
      </c>
    </row>
    <row r="59" spans="1:6" ht="17.25" customHeight="1" x14ac:dyDescent="0.25">
      <c r="A59" s="35" t="s">
        <v>41</v>
      </c>
      <c r="B59" s="39" t="s">
        <v>42</v>
      </c>
      <c r="C59" s="91">
        <v>2.65</v>
      </c>
      <c r="D59" s="91">
        <v>2.65</v>
      </c>
      <c r="E59" s="38">
        <f t="shared" si="4"/>
        <v>100</v>
      </c>
      <c r="F59" s="38">
        <f t="shared" si="3"/>
        <v>0</v>
      </c>
    </row>
    <row r="60" spans="1:6" s="6" customFormat="1" x14ac:dyDescent="0.25">
      <c r="A60" s="41" t="s">
        <v>43</v>
      </c>
      <c r="B60" s="42" t="s">
        <v>44</v>
      </c>
      <c r="C60" s="22">
        <f>C61</f>
        <v>108.54452999999999</v>
      </c>
      <c r="D60" s="22">
        <f>D61</f>
        <v>108.54452999999999</v>
      </c>
      <c r="E60" s="34">
        <f t="shared" si="4"/>
        <v>100</v>
      </c>
      <c r="F60" s="34">
        <f t="shared" si="3"/>
        <v>0</v>
      </c>
    </row>
    <row r="61" spans="1:6" x14ac:dyDescent="0.25">
      <c r="A61" s="43" t="s">
        <v>45</v>
      </c>
      <c r="B61" s="44" t="s">
        <v>46</v>
      </c>
      <c r="C61" s="91">
        <v>108.54452999999999</v>
      </c>
      <c r="D61" s="91">
        <v>108.54452999999999</v>
      </c>
      <c r="E61" s="38">
        <f t="shared" si="4"/>
        <v>100</v>
      </c>
      <c r="F61" s="38">
        <f t="shared" si="3"/>
        <v>0</v>
      </c>
    </row>
    <row r="62" spans="1:6" s="6" customFormat="1" ht="17.25" customHeight="1" x14ac:dyDescent="0.25">
      <c r="A62" s="30" t="s">
        <v>47</v>
      </c>
      <c r="B62" s="31" t="s">
        <v>48</v>
      </c>
      <c r="C62" s="22">
        <f>C65+C66+C67</f>
        <v>18</v>
      </c>
      <c r="D62" s="22">
        <f>D65+D66+D67</f>
        <v>17.321960000000001</v>
      </c>
      <c r="E62" s="34">
        <f t="shared" si="4"/>
        <v>96.233111111111114</v>
      </c>
      <c r="F62" s="34">
        <f t="shared" si="3"/>
        <v>-0.67803999999999931</v>
      </c>
    </row>
    <row r="63" spans="1:6" ht="13.5" hidden="1" customHeight="1" x14ac:dyDescent="0.25">
      <c r="A63" s="35" t="s">
        <v>49</v>
      </c>
      <c r="B63" s="39" t="s">
        <v>50</v>
      </c>
      <c r="C63" s="91"/>
      <c r="D63" s="91"/>
      <c r="E63" s="34" t="e">
        <f t="shared" si="4"/>
        <v>#DIV/0!</v>
      </c>
      <c r="F63" s="34">
        <f t="shared" si="3"/>
        <v>0</v>
      </c>
    </row>
    <row r="64" spans="1:6" hidden="1" x14ac:dyDescent="0.25">
      <c r="A64" s="45" t="s">
        <v>51</v>
      </c>
      <c r="B64" s="39" t="s">
        <v>52</v>
      </c>
      <c r="C64" s="91"/>
      <c r="D64" s="91"/>
      <c r="E64" s="34" t="e">
        <f t="shared" si="4"/>
        <v>#DIV/0!</v>
      </c>
      <c r="F64" s="34">
        <f t="shared" si="3"/>
        <v>0</v>
      </c>
    </row>
    <row r="65" spans="1:7" ht="15.75" customHeight="1" x14ac:dyDescent="0.25">
      <c r="A65" s="46" t="s">
        <v>53</v>
      </c>
      <c r="B65" s="47" t="s">
        <v>54</v>
      </c>
      <c r="C65" s="91">
        <v>3</v>
      </c>
      <c r="D65" s="91">
        <v>2.83134</v>
      </c>
      <c r="E65" s="34">
        <f t="shared" si="4"/>
        <v>94.378</v>
      </c>
      <c r="F65" s="34">
        <f t="shared" si="3"/>
        <v>-0.16866000000000003</v>
      </c>
    </row>
    <row r="66" spans="1:7" ht="15.75" customHeight="1" x14ac:dyDescent="0.25">
      <c r="A66" s="46" t="s">
        <v>210</v>
      </c>
      <c r="B66" s="47" t="s">
        <v>211</v>
      </c>
      <c r="C66" s="91">
        <v>13</v>
      </c>
      <c r="D66" s="91">
        <v>12.49062</v>
      </c>
      <c r="E66" s="38">
        <f t="shared" si="4"/>
        <v>96.081692307692308</v>
      </c>
      <c r="F66" s="38">
        <f t="shared" si="3"/>
        <v>-0.50938000000000017</v>
      </c>
    </row>
    <row r="67" spans="1:7" ht="15.75" customHeight="1" x14ac:dyDescent="0.25">
      <c r="A67" s="46" t="s">
        <v>330</v>
      </c>
      <c r="B67" s="47" t="s">
        <v>384</v>
      </c>
      <c r="C67" s="91">
        <v>2</v>
      </c>
      <c r="D67" s="91">
        <v>2</v>
      </c>
      <c r="E67" s="38"/>
      <c r="F67" s="38"/>
    </row>
    <row r="68" spans="1:7" s="6" customFormat="1" ht="14.25" customHeight="1" x14ac:dyDescent="0.25">
      <c r="A68" s="30" t="s">
        <v>55</v>
      </c>
      <c r="B68" s="31" t="s">
        <v>56</v>
      </c>
      <c r="C68" s="103">
        <f>C71+C72+C69+C70</f>
        <v>851.65995999999996</v>
      </c>
      <c r="D68" s="103">
        <f>D71+D72+D69+D70</f>
        <v>760.86120000000005</v>
      </c>
      <c r="E68" s="34">
        <f t="shared" si="4"/>
        <v>89.338613500157976</v>
      </c>
      <c r="F68" s="34">
        <f t="shared" si="3"/>
        <v>-90.798759999999902</v>
      </c>
    </row>
    <row r="69" spans="1:7" ht="16.5" hidden="1" customHeight="1" x14ac:dyDescent="0.25">
      <c r="A69" s="35" t="s">
        <v>57</v>
      </c>
      <c r="B69" s="39" t="s">
        <v>58</v>
      </c>
      <c r="C69" s="104">
        <v>0</v>
      </c>
      <c r="D69" s="91">
        <v>0</v>
      </c>
      <c r="E69" s="38" t="e">
        <f t="shared" si="4"/>
        <v>#DIV/0!</v>
      </c>
      <c r="F69" s="38">
        <f t="shared" si="3"/>
        <v>0</v>
      </c>
    </row>
    <row r="70" spans="1:7" s="6" customFormat="1" hidden="1" x14ac:dyDescent="0.25">
      <c r="A70" s="35" t="s">
        <v>59</v>
      </c>
      <c r="B70" s="39" t="s">
        <v>60</v>
      </c>
      <c r="C70" s="104">
        <v>0</v>
      </c>
      <c r="D70" s="91">
        <v>0</v>
      </c>
      <c r="E70" s="38" t="e">
        <f t="shared" si="4"/>
        <v>#DIV/0!</v>
      </c>
      <c r="F70" s="38">
        <f t="shared" si="3"/>
        <v>0</v>
      </c>
      <c r="G70" s="50"/>
    </row>
    <row r="71" spans="1:7" ht="15.75" customHeight="1" x14ac:dyDescent="0.25">
      <c r="A71" s="35" t="s">
        <v>61</v>
      </c>
      <c r="B71" s="39" t="s">
        <v>62</v>
      </c>
      <c r="C71" s="104">
        <v>851.65995999999996</v>
      </c>
      <c r="D71" s="91">
        <v>760.86120000000005</v>
      </c>
      <c r="E71" s="38">
        <f t="shared" si="4"/>
        <v>89.338613500157976</v>
      </c>
      <c r="F71" s="38">
        <f t="shared" si="3"/>
        <v>-90.798759999999902</v>
      </c>
    </row>
    <row r="72" spans="1:7" x14ac:dyDescent="0.25">
      <c r="A72" s="35" t="s">
        <v>63</v>
      </c>
      <c r="B72" s="39" t="s">
        <v>64</v>
      </c>
      <c r="C72" s="104">
        <v>0</v>
      </c>
      <c r="D72" s="91">
        <v>0</v>
      </c>
      <c r="E72" s="38" t="e">
        <f t="shared" si="4"/>
        <v>#DIV/0!</v>
      </c>
      <c r="F72" s="38">
        <f t="shared" si="3"/>
        <v>0</v>
      </c>
    </row>
    <row r="73" spans="1:7" s="6" customFormat="1" ht="18" customHeight="1" x14ac:dyDescent="0.25">
      <c r="A73" s="30" t="s">
        <v>65</v>
      </c>
      <c r="B73" s="31" t="s">
        <v>66</v>
      </c>
      <c r="C73" s="22">
        <f>C76+C75</f>
        <v>5212.0375599999998</v>
      </c>
      <c r="D73" s="22">
        <f>D76+D75</f>
        <v>5136.3828700000004</v>
      </c>
      <c r="E73" s="34">
        <f t="shared" si="4"/>
        <v>98.548462302332311</v>
      </c>
      <c r="F73" s="34">
        <f t="shared" si="3"/>
        <v>-75.654689999999391</v>
      </c>
    </row>
    <row r="74" spans="1:7" ht="0.75" hidden="1" customHeight="1" x14ac:dyDescent="0.25">
      <c r="A74" s="35" t="s">
        <v>67</v>
      </c>
      <c r="B74" s="51" t="s">
        <v>68</v>
      </c>
      <c r="C74" s="91"/>
      <c r="D74" s="91"/>
      <c r="E74" s="38" t="e">
        <f t="shared" si="4"/>
        <v>#DIV/0!</v>
      </c>
      <c r="F74" s="38">
        <f t="shared" si="3"/>
        <v>0</v>
      </c>
    </row>
    <row r="75" spans="1:7" ht="15" customHeight="1" x14ac:dyDescent="0.25">
      <c r="A75" s="35" t="s">
        <v>69</v>
      </c>
      <c r="B75" s="51" t="s">
        <v>70</v>
      </c>
      <c r="C75" s="91">
        <v>5047.4631399999998</v>
      </c>
      <c r="D75" s="91">
        <v>4990.4378900000002</v>
      </c>
      <c r="E75" s="38">
        <f t="shared" si="4"/>
        <v>98.870219585199393</v>
      </c>
      <c r="F75" s="38">
        <f t="shared" si="3"/>
        <v>-57.025249999999687</v>
      </c>
    </row>
    <row r="76" spans="1:7" ht="16.5" customHeight="1" x14ac:dyDescent="0.25">
      <c r="A76" s="35" t="s">
        <v>71</v>
      </c>
      <c r="B76" s="39" t="s">
        <v>72</v>
      </c>
      <c r="C76" s="91">
        <v>164.57442</v>
      </c>
      <c r="D76" s="91">
        <v>145.94497999999999</v>
      </c>
      <c r="E76" s="38">
        <f t="shared" si="4"/>
        <v>88.680233538116056</v>
      </c>
      <c r="F76" s="38">
        <f t="shared" si="3"/>
        <v>-18.629440000000017</v>
      </c>
    </row>
    <row r="77" spans="1:7" s="6" customFormat="1" x14ac:dyDescent="0.25">
      <c r="A77" s="30" t="s">
        <v>81</v>
      </c>
      <c r="B77" s="31" t="s">
        <v>82</v>
      </c>
      <c r="C77" s="22">
        <f>C78</f>
        <v>286.60000000000002</v>
      </c>
      <c r="D77" s="22">
        <f>D78</f>
        <v>286.60000000000002</v>
      </c>
      <c r="E77" s="34">
        <f t="shared" si="4"/>
        <v>100</v>
      </c>
      <c r="F77" s="34">
        <f t="shared" si="3"/>
        <v>0</v>
      </c>
    </row>
    <row r="78" spans="1:7" ht="14.25" customHeight="1" x14ac:dyDescent="0.25">
      <c r="A78" s="35" t="s">
        <v>83</v>
      </c>
      <c r="B78" s="39" t="s">
        <v>225</v>
      </c>
      <c r="C78" s="91">
        <v>286.60000000000002</v>
      </c>
      <c r="D78" s="91">
        <v>286.60000000000002</v>
      </c>
      <c r="E78" s="38">
        <f t="shared" si="4"/>
        <v>100</v>
      </c>
      <c r="F78" s="38">
        <f t="shared" si="3"/>
        <v>0</v>
      </c>
    </row>
    <row r="79" spans="1:7" s="6" customFormat="1" ht="0.75" hidden="1" customHeight="1" x14ac:dyDescent="0.25">
      <c r="A79" s="52">
        <v>1000</v>
      </c>
      <c r="B79" s="31" t="s">
        <v>84</v>
      </c>
      <c r="C79" s="22"/>
      <c r="D79" s="22"/>
      <c r="E79" s="34" t="e">
        <f t="shared" si="4"/>
        <v>#DIV/0!</v>
      </c>
      <c r="F79" s="34">
        <f t="shared" si="3"/>
        <v>0</v>
      </c>
    </row>
    <row r="80" spans="1:7" ht="16.5" hidden="1" customHeight="1" x14ac:dyDescent="0.25">
      <c r="A80" s="53">
        <v>1001</v>
      </c>
      <c r="B80" s="54" t="s">
        <v>85</v>
      </c>
      <c r="C80" s="91"/>
      <c r="D80" s="91"/>
      <c r="E80" s="38" t="e">
        <f t="shared" si="4"/>
        <v>#DIV/0!</v>
      </c>
      <c r="F80" s="38">
        <f t="shared" si="3"/>
        <v>0</v>
      </c>
    </row>
    <row r="81" spans="1:7" ht="15.75" hidden="1" customHeight="1" x14ac:dyDescent="0.25">
      <c r="A81" s="53">
        <v>1003</v>
      </c>
      <c r="B81" s="54" t="s">
        <v>86</v>
      </c>
      <c r="C81" s="91"/>
      <c r="D81" s="91"/>
      <c r="E81" s="38" t="e">
        <f t="shared" si="4"/>
        <v>#DIV/0!</v>
      </c>
      <c r="F81" s="38">
        <f t="shared" si="3"/>
        <v>0</v>
      </c>
    </row>
    <row r="82" spans="1:7" ht="16.5" hidden="1" customHeight="1" x14ac:dyDescent="0.25">
      <c r="A82" s="53">
        <v>1004</v>
      </c>
      <c r="B82" s="54" t="s">
        <v>87</v>
      </c>
      <c r="C82" s="91"/>
      <c r="D82" s="183"/>
      <c r="E82" s="38" t="e">
        <f t="shared" si="4"/>
        <v>#DIV/0!</v>
      </c>
      <c r="F82" s="38">
        <f t="shared" si="3"/>
        <v>0</v>
      </c>
    </row>
    <row r="83" spans="1:7" ht="0.75" customHeight="1" x14ac:dyDescent="0.25">
      <c r="A83" s="35" t="s">
        <v>88</v>
      </c>
      <c r="B83" s="39" t="s">
        <v>89</v>
      </c>
      <c r="C83" s="91"/>
      <c r="D83" s="91"/>
      <c r="E83" s="38"/>
      <c r="F83" s="38">
        <f t="shared" si="3"/>
        <v>0</v>
      </c>
    </row>
    <row r="84" spans="1:7" ht="15" customHeight="1" x14ac:dyDescent="0.25">
      <c r="A84" s="30" t="s">
        <v>90</v>
      </c>
      <c r="B84" s="31" t="s">
        <v>91</v>
      </c>
      <c r="C84" s="22">
        <f>C85</f>
        <v>5.5350000000000001</v>
      </c>
      <c r="D84" s="22">
        <f>D85</f>
        <v>5.5350000000000001</v>
      </c>
      <c r="E84" s="38">
        <f t="shared" si="4"/>
        <v>100</v>
      </c>
      <c r="F84" s="22">
        <f>F85+F86+F87+F88+F89</f>
        <v>0</v>
      </c>
    </row>
    <row r="85" spans="1:7" ht="16.5" customHeight="1" x14ac:dyDescent="0.25">
      <c r="A85" s="35" t="s">
        <v>92</v>
      </c>
      <c r="B85" s="39" t="s">
        <v>93</v>
      </c>
      <c r="C85" s="91">
        <v>5.5350000000000001</v>
      </c>
      <c r="D85" s="91">
        <v>5.5350000000000001</v>
      </c>
      <c r="E85" s="38">
        <v>0</v>
      </c>
      <c r="F85" s="38">
        <f>SUM(D85-C85)</f>
        <v>0</v>
      </c>
    </row>
    <row r="86" spans="1:7" ht="14.25" hidden="1" customHeight="1" x14ac:dyDescent="0.25">
      <c r="A86" s="35" t="s">
        <v>94</v>
      </c>
      <c r="B86" s="39" t="s">
        <v>95</v>
      </c>
      <c r="C86" s="91"/>
      <c r="D86" s="91"/>
      <c r="E86" s="38" t="e">
        <f t="shared" si="4"/>
        <v>#DIV/0!</v>
      </c>
      <c r="F86" s="38">
        <f>SUM(D86-C86)</f>
        <v>0</v>
      </c>
    </row>
    <row r="87" spans="1:7" ht="15.75" hidden="1" customHeight="1" x14ac:dyDescent="0.25">
      <c r="A87" s="35" t="s">
        <v>96</v>
      </c>
      <c r="B87" s="39" t="s">
        <v>97</v>
      </c>
      <c r="C87" s="91"/>
      <c r="D87" s="91"/>
      <c r="E87" s="38" t="e">
        <f t="shared" si="4"/>
        <v>#DIV/0!</v>
      </c>
      <c r="F87" s="38"/>
    </row>
    <row r="88" spans="1:7" ht="9.75" hidden="1" customHeight="1" x14ac:dyDescent="0.25">
      <c r="A88" s="35" t="s">
        <v>98</v>
      </c>
      <c r="B88" s="39" t="s">
        <v>99</v>
      </c>
      <c r="C88" s="91"/>
      <c r="D88" s="91"/>
      <c r="E88" s="38" t="e">
        <f t="shared" si="4"/>
        <v>#DIV/0!</v>
      </c>
      <c r="F88" s="38"/>
    </row>
    <row r="89" spans="1:7" ht="11.25" hidden="1" customHeight="1" x14ac:dyDescent="0.25">
      <c r="A89" s="35" t="s">
        <v>100</v>
      </c>
      <c r="B89" s="39" t="s">
        <v>101</v>
      </c>
      <c r="C89" s="91"/>
      <c r="D89" s="91"/>
      <c r="E89" s="38" t="e">
        <f t="shared" si="4"/>
        <v>#DIV/0!</v>
      </c>
      <c r="F89" s="38"/>
    </row>
    <row r="90" spans="1:7" s="6" customFormat="1" ht="17.25" hidden="1" customHeight="1" x14ac:dyDescent="0.25">
      <c r="A90" s="52">
        <v>1400</v>
      </c>
      <c r="B90" s="56" t="s">
        <v>109</v>
      </c>
      <c r="C90" s="103">
        <v>0</v>
      </c>
      <c r="D90" s="103">
        <f>SUM(D91:D93)</f>
        <v>0</v>
      </c>
      <c r="E90" s="34" t="e">
        <f t="shared" si="4"/>
        <v>#DIV/0!</v>
      </c>
      <c r="F90" s="34">
        <f t="shared" si="3"/>
        <v>0</v>
      </c>
    </row>
    <row r="91" spans="1:7" ht="18.75" hidden="1" customHeight="1" x14ac:dyDescent="0.25">
      <c r="A91" s="53">
        <v>1401</v>
      </c>
      <c r="B91" s="54" t="s">
        <v>110</v>
      </c>
      <c r="C91" s="104"/>
      <c r="D91" s="91"/>
      <c r="E91" s="38" t="e">
        <f t="shared" si="4"/>
        <v>#DIV/0!</v>
      </c>
      <c r="F91" s="38">
        <f t="shared" si="3"/>
        <v>0</v>
      </c>
    </row>
    <row r="92" spans="1:7" ht="15.75" hidden="1" customHeight="1" x14ac:dyDescent="0.25">
      <c r="A92" s="53">
        <v>1402</v>
      </c>
      <c r="B92" s="54" t="s">
        <v>111</v>
      </c>
      <c r="C92" s="104"/>
      <c r="D92" s="91"/>
      <c r="E92" s="38" t="e">
        <f t="shared" si="4"/>
        <v>#DIV/0!</v>
      </c>
      <c r="F92" s="38">
        <f t="shared" si="3"/>
        <v>0</v>
      </c>
    </row>
    <row r="93" spans="1:7" ht="12.75" hidden="1" customHeight="1" x14ac:dyDescent="0.25">
      <c r="A93" s="53">
        <v>1403</v>
      </c>
      <c r="B93" s="54" t="s">
        <v>112</v>
      </c>
      <c r="C93" s="104"/>
      <c r="D93" s="91"/>
      <c r="E93" s="38" t="e">
        <f t="shared" si="4"/>
        <v>#DIV/0!</v>
      </c>
      <c r="F93" s="38">
        <f t="shared" si="3"/>
        <v>0</v>
      </c>
    </row>
    <row r="94" spans="1:7" s="6" customFormat="1" x14ac:dyDescent="0.25">
      <c r="A94" s="52"/>
      <c r="B94" s="57" t="s">
        <v>113</v>
      </c>
      <c r="C94" s="386">
        <f>C52+C60+C62+C68+C73+C77+C84</f>
        <v>7895.2142299999996</v>
      </c>
      <c r="D94" s="386">
        <f>D52+D60+D62+D68+D73+D77+D79+D84+D90</f>
        <v>7712.6722000000009</v>
      </c>
      <c r="E94" s="126">
        <f t="shared" si="4"/>
        <v>97.687940761551715</v>
      </c>
      <c r="F94" s="34">
        <f t="shared" si="3"/>
        <v>-182.5420299999987</v>
      </c>
      <c r="G94" s="193"/>
    </row>
    <row r="95" spans="1:7" x14ac:dyDescent="0.25">
      <c r="C95" s="124"/>
      <c r="D95" s="100"/>
    </row>
    <row r="96" spans="1:7" s="65" customFormat="1" ht="16.5" customHeight="1" x14ac:dyDescent="0.2">
      <c r="A96" s="63" t="s">
        <v>114</v>
      </c>
      <c r="B96" s="63"/>
      <c r="C96" s="178"/>
      <c r="D96" s="178"/>
    </row>
    <row r="97" spans="1:3" s="65" customFormat="1" ht="20.25" customHeight="1" x14ac:dyDescent="0.2">
      <c r="A97" s="66" t="s">
        <v>115</v>
      </c>
      <c r="B97" s="66"/>
      <c r="C97" s="65" t="s">
        <v>116</v>
      </c>
    </row>
    <row r="98" spans="1:3" ht="13.5" customHeight="1" x14ac:dyDescent="0.25"/>
    <row r="100" spans="1:3" ht="5.25" customHeight="1" x14ac:dyDescent="0.25"/>
    <row r="142" hidden="1" x14ac:dyDescent="0.25"/>
  </sheetData>
  <customSheetViews>
    <customSheetView guid="{4D5E6ACC-9055-4DE9-8C20-9052F3C35D19}" scale="70" showPageBreaks="1" printArea="1" hiddenRows="1" state="hidden" view="pageBreakPreview" topLeftCell="A35">
      <selection activeCell="D85" sqref="D85"/>
      <pageMargins left="0.74803149606299213" right="0.74803149606299213" top="0.19685039370078741" bottom="0.15748031496062992" header="0.51181102362204722" footer="0.23622047244094491"/>
      <pageSetup paperSize="9" scale="60" orientation="portrait" r:id="rId1"/>
      <headerFooter alignWithMargins="0"/>
    </customSheetView>
    <customSheetView guid="{5C539BE6-C8E0-453F-AB5E-9E58094195EA}" scale="70" showPageBreaks="1" printArea="1" hiddenRows="1" view="pageBreakPreview" topLeftCell="A13">
      <selection activeCell="C44" sqref="C44"/>
      <pageMargins left="0.74803149606299213" right="0.74803149606299213" top="0.19685039370078741" bottom="0.15748031496062992" header="0.51181102362204722" footer="0.23622047244094491"/>
      <pageSetup paperSize="9" scale="60" orientation="portrait" r:id="rId2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3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hiddenRows="1" topLeftCell="A42">
      <selection activeCell="A67" sqref="A67:XFD67"/>
      <pageMargins left="0.75" right="0.75" top="0.18" bottom="0.17" header="0.5" footer="0.25"/>
      <pageSetup paperSize="9" scale="63" orientation="portrait" r:id="rId5"/>
      <headerFooter alignWithMargins="0"/>
    </customSheetView>
    <customSheetView guid="{B31C8DB7-3E78-4144-A6B5-8DE36DE63F0E}" hiddenRows="1" topLeftCell="A34">
      <selection activeCell="D44" sqref="D44"/>
      <pageMargins left="0.75" right="0.75" top="0.18" bottom="0.17" header="0.5" footer="0.25"/>
      <pageSetup paperSize="9" scale="63" orientation="portrait" r:id="rId6"/>
      <headerFooter alignWithMargins="0"/>
    </customSheetView>
    <customSheetView guid="{5BFCA170-DEAE-4D2C-98A0-1E68B427AC01}" showPageBreaks="1" hiddenRows="1" topLeftCell="A28">
      <selection activeCell="I43" sqref="I42:I43"/>
      <pageMargins left="0.75" right="0.75" top="0.18" bottom="0.17" header="0.5" footer="0.25"/>
      <pageSetup paperSize="9" scale="63" orientation="portrait" r:id="rId7"/>
      <headerFooter alignWithMargins="0"/>
    </customSheetView>
    <customSheetView guid="{B30CE22D-C12F-4E12-8BB9-3AAE0A6991CC}" scale="70" showPageBreaks="1" printArea="1" hiddenRows="1" view="pageBreakPreview" topLeftCell="A25">
      <selection activeCell="D94" sqref="D94"/>
      <pageMargins left="0.74803149606299213" right="0.74803149606299213" top="0.19685039370078741" bottom="0.15748031496062992" header="0.51181102362204722" footer="0.23622047244094491"/>
      <pageSetup paperSize="9" scale="60" orientation="portrait" r:id="rId8"/>
      <headerFooter alignWithMargins="0"/>
    </customSheetView>
    <customSheetView guid="{1718F1EE-9F48-4DBE-9531-3B70F9C4A5DD}" scale="70" showPageBreaks="1" hiddenRows="1" view="pageBreakPreview" topLeftCell="A26">
      <selection activeCell="B36" sqref="B36"/>
      <pageMargins left="0.75" right="0.75" top="0.18" bottom="0.17" header="0.5" footer="0.25"/>
      <pageSetup paperSize="9" scale="49" orientation="portrait" r:id="rId9"/>
      <headerFooter alignWithMargins="0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10"/>
      <headerFooter alignWithMargins="0"/>
    </customSheetView>
    <customSheetView guid="{F85EE840-0C31-454A-8951-832C2E9E0600}" scale="70" showPageBreaks="1" printArea="1" hiddenRows="1" state="hidden" view="pageBreakPreview" topLeftCell="A29">
      <selection activeCell="D76" sqref="D76"/>
      <pageMargins left="0.74803149606299213" right="0.74803149606299213" top="0.19685039370078741" bottom="0.15748031496062992" header="0.51181102362204722" footer="0.23622047244094491"/>
      <pageSetup paperSize="9" scale="60" orientation="portrait" r:id="rId11"/>
      <headerFooter alignWithMargins="0"/>
    </customSheetView>
    <customSheetView guid="{F1E84C44-1ACD-474A-BDE0-C7088DB6C590}" scale="70" showPageBreaks="1" printArea="1" hiddenRows="1" state="hidden" view="pageBreakPreview" topLeftCell="A35">
      <selection activeCell="D85" sqref="D85"/>
      <pageMargins left="0.74803149606299213" right="0.74803149606299213" top="0.19685039370078741" bottom="0.15748031496062992" header="0.51181102362204722" footer="0.23622047244094491"/>
      <pageSetup paperSize="9" scale="60" orientation="portrait" r:id="rId12"/>
      <headerFooter alignWithMargins="0"/>
    </customSheetView>
    <customSheetView guid="{61528DAC-5C4C-48F4-ADE2-8A724B05A086}" scale="70" showPageBreaks="1" printArea="1" hiddenRows="1" state="hidden" view="pageBreakPreview" topLeftCell="A35">
      <selection activeCell="D85" sqref="D85"/>
      <pageMargins left="0.74803149606299213" right="0.74803149606299213" top="0.19685039370078741" bottom="0.15748031496062992" header="0.51181102362204722" footer="0.23622047244094491"/>
      <pageSetup paperSize="9" scale="60" orientation="portrait" r:id="rId13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19685039370078741" bottom="0.15748031496062992" header="0.51181102362204722" footer="0.23622047244094491"/>
  <pageSetup paperSize="9" scale="60" orientation="portrait" r:id="rId1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143"/>
  <sheetViews>
    <sheetView view="pageBreakPreview" topLeftCell="A18" zoomScale="70" zoomScaleNormal="100" zoomScaleSheetLayoutView="70" workbookViewId="0">
      <selection activeCell="C93" sqref="C93"/>
    </sheetView>
  </sheetViews>
  <sheetFormatPr defaultRowHeight="15.75" x14ac:dyDescent="0.2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 x14ac:dyDescent="0.25">
      <c r="A1" s="599" t="s">
        <v>424</v>
      </c>
      <c r="B1" s="599"/>
      <c r="C1" s="599"/>
      <c r="D1" s="599"/>
      <c r="E1" s="599"/>
      <c r="F1" s="599"/>
    </row>
    <row r="2" spans="1:6" x14ac:dyDescent="0.25">
      <c r="A2" s="599"/>
      <c r="B2" s="599"/>
      <c r="C2" s="599"/>
      <c r="D2" s="599"/>
      <c r="E2" s="599"/>
      <c r="F2" s="599"/>
    </row>
    <row r="3" spans="1:6" ht="63" x14ac:dyDescent="0.25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 x14ac:dyDescent="0.25">
      <c r="A4" s="3"/>
      <c r="B4" s="4" t="s">
        <v>4</v>
      </c>
      <c r="C4" s="5">
        <f>C5+C12+C14+C17+C7</f>
        <v>3692.4</v>
      </c>
      <c r="D4" s="5">
        <f>D5+D12+D14+D17+D7</f>
        <v>4985.6887399999996</v>
      </c>
      <c r="E4" s="5">
        <f>SUM(D4/C4*100)</f>
        <v>135.02569439930667</v>
      </c>
      <c r="F4" s="5">
        <f>SUM(D4-C4)</f>
        <v>1293.2887399999995</v>
      </c>
    </row>
    <row r="5" spans="1:6" s="6" customFormat="1" x14ac:dyDescent="0.25">
      <c r="A5" s="68">
        <v>1010000000</v>
      </c>
      <c r="B5" s="67" t="s">
        <v>5</v>
      </c>
      <c r="C5" s="5">
        <f>C6</f>
        <v>396</v>
      </c>
      <c r="D5" s="5">
        <f>D6</f>
        <v>1142.71928</v>
      </c>
      <c r="E5" s="5">
        <f t="shared" ref="E5:E53" si="0">SUM(D5/C5*100)</f>
        <v>288.56547474747475</v>
      </c>
      <c r="F5" s="5">
        <f t="shared" ref="F5:F53" si="1">SUM(D5-C5)</f>
        <v>746.71928000000003</v>
      </c>
    </row>
    <row r="6" spans="1:6" x14ac:dyDescent="0.25">
      <c r="A6" s="7">
        <v>1010200001</v>
      </c>
      <c r="B6" s="8" t="s">
        <v>220</v>
      </c>
      <c r="C6" s="9">
        <v>396</v>
      </c>
      <c r="D6" s="10">
        <v>1142.71928</v>
      </c>
      <c r="E6" s="9">
        <f t="shared" ref="E6:E11" si="2">SUM(D6/C6*100)</f>
        <v>288.56547474747475</v>
      </c>
      <c r="F6" s="9">
        <f t="shared" si="1"/>
        <v>746.71928000000003</v>
      </c>
    </row>
    <row r="7" spans="1:6" ht="31.5" x14ac:dyDescent="0.25">
      <c r="A7" s="3">
        <v>1030000000</v>
      </c>
      <c r="B7" s="13" t="s">
        <v>259</v>
      </c>
      <c r="C7" s="5">
        <f>C8+C10+C9</f>
        <v>823.4</v>
      </c>
      <c r="D7" s="5">
        <f>D8+D10+D9+D11</f>
        <v>973.46062999999992</v>
      </c>
      <c r="E7" s="5">
        <f t="shared" si="2"/>
        <v>118.22451178042263</v>
      </c>
      <c r="F7" s="5">
        <f t="shared" si="1"/>
        <v>150.06062999999995</v>
      </c>
    </row>
    <row r="8" spans="1:6" x14ac:dyDescent="0.25">
      <c r="A8" s="7">
        <v>1030223001</v>
      </c>
      <c r="B8" s="8" t="s">
        <v>261</v>
      </c>
      <c r="C8" s="9">
        <v>307.12799999999999</v>
      </c>
      <c r="D8" s="10">
        <v>488.0027</v>
      </c>
      <c r="E8" s="9">
        <f t="shared" si="2"/>
        <v>158.89228595243679</v>
      </c>
      <c r="F8" s="9">
        <f t="shared" si="1"/>
        <v>180.87470000000002</v>
      </c>
    </row>
    <row r="9" spans="1:6" x14ac:dyDescent="0.25">
      <c r="A9" s="7">
        <v>1030224001</v>
      </c>
      <c r="B9" s="8" t="s">
        <v>267</v>
      </c>
      <c r="C9" s="9">
        <v>3.294</v>
      </c>
      <c r="D9" s="10">
        <v>2.63592</v>
      </c>
      <c r="E9" s="9">
        <f t="shared" si="2"/>
        <v>80.021857923497265</v>
      </c>
      <c r="F9" s="9">
        <f t="shared" si="1"/>
        <v>-0.65808</v>
      </c>
    </row>
    <row r="10" spans="1:6" x14ac:dyDescent="0.25">
      <c r="A10" s="7">
        <v>1030225001</v>
      </c>
      <c r="B10" s="8" t="s">
        <v>260</v>
      </c>
      <c r="C10" s="9">
        <v>512.97799999999995</v>
      </c>
      <c r="D10" s="10">
        <v>538.81007999999997</v>
      </c>
      <c r="E10" s="9">
        <f t="shared" si="2"/>
        <v>105.03570913372504</v>
      </c>
      <c r="F10" s="9">
        <f t="shared" si="1"/>
        <v>25.832080000000019</v>
      </c>
    </row>
    <row r="11" spans="1:6" x14ac:dyDescent="0.25">
      <c r="A11" s="7">
        <v>1030226001</v>
      </c>
      <c r="B11" s="8" t="s">
        <v>269</v>
      </c>
      <c r="C11" s="9">
        <v>0</v>
      </c>
      <c r="D11" s="10">
        <v>-55.98807</v>
      </c>
      <c r="E11" s="9" t="e">
        <f t="shared" si="2"/>
        <v>#DIV/0!</v>
      </c>
      <c r="F11" s="9">
        <f t="shared" si="1"/>
        <v>-55.98807</v>
      </c>
    </row>
    <row r="12" spans="1:6" s="6" customFormat="1" x14ac:dyDescent="0.25">
      <c r="A12" s="68">
        <v>1050000000</v>
      </c>
      <c r="B12" s="67" t="s">
        <v>6</v>
      </c>
      <c r="C12" s="5">
        <f>SUM(C13:C13)</f>
        <v>45</v>
      </c>
      <c r="D12" s="5">
        <f>SUM(D13:D13)</f>
        <v>42.506970000000003</v>
      </c>
      <c r="E12" s="5">
        <f t="shared" si="0"/>
        <v>94.459933333333339</v>
      </c>
      <c r="F12" s="5">
        <f t="shared" si="1"/>
        <v>-2.4930299999999974</v>
      </c>
    </row>
    <row r="13" spans="1:6" ht="15.75" customHeight="1" x14ac:dyDescent="0.25">
      <c r="A13" s="7">
        <v>1050300000</v>
      </c>
      <c r="B13" s="11" t="s">
        <v>221</v>
      </c>
      <c r="C13" s="12">
        <v>45</v>
      </c>
      <c r="D13" s="10">
        <v>42.506970000000003</v>
      </c>
      <c r="E13" s="9">
        <f t="shared" si="0"/>
        <v>94.459933333333339</v>
      </c>
      <c r="F13" s="9">
        <f t="shared" si="1"/>
        <v>-2.4930299999999974</v>
      </c>
    </row>
    <row r="14" spans="1:6" s="6" customFormat="1" ht="15.75" customHeight="1" x14ac:dyDescent="0.25">
      <c r="A14" s="68">
        <v>1060000000</v>
      </c>
      <c r="B14" s="67" t="s">
        <v>129</v>
      </c>
      <c r="C14" s="5">
        <f>C15+C16</f>
        <v>2418</v>
      </c>
      <c r="D14" s="5">
        <f>D15+D16</f>
        <v>2818.8318600000002</v>
      </c>
      <c r="E14" s="5">
        <f t="shared" si="0"/>
        <v>116.57700000000003</v>
      </c>
      <c r="F14" s="5">
        <f t="shared" si="1"/>
        <v>400.83186000000023</v>
      </c>
    </row>
    <row r="15" spans="1:6" s="6" customFormat="1" ht="15.75" customHeight="1" x14ac:dyDescent="0.25">
      <c r="A15" s="7">
        <v>1060100000</v>
      </c>
      <c r="B15" s="11" t="s">
        <v>8</v>
      </c>
      <c r="C15" s="9">
        <v>1023</v>
      </c>
      <c r="D15" s="10">
        <v>1140.8601699999999</v>
      </c>
      <c r="E15" s="5">
        <f t="shared" si="0"/>
        <v>111.52103323558163</v>
      </c>
      <c r="F15" s="9">
        <f>SUM(D15-C15)</f>
        <v>117.86016999999993</v>
      </c>
    </row>
    <row r="16" spans="1:6" ht="15" customHeight="1" x14ac:dyDescent="0.25">
      <c r="A16" s="7">
        <v>1060600000</v>
      </c>
      <c r="B16" s="11" t="s">
        <v>7</v>
      </c>
      <c r="C16" s="9">
        <v>1395</v>
      </c>
      <c r="D16" s="10">
        <v>1677.9716900000001</v>
      </c>
      <c r="E16" s="5">
        <f t="shared" si="0"/>
        <v>120.28470896057348</v>
      </c>
      <c r="F16" s="9">
        <f t="shared" si="1"/>
        <v>282.97169000000008</v>
      </c>
    </row>
    <row r="17" spans="1:6" s="6" customFormat="1" ht="18" customHeight="1" x14ac:dyDescent="0.25">
      <c r="A17" s="3">
        <v>1080000000</v>
      </c>
      <c r="B17" s="4" t="s">
        <v>10</v>
      </c>
      <c r="C17" s="5">
        <f>C18</f>
        <v>10</v>
      </c>
      <c r="D17" s="5">
        <f>D18</f>
        <v>8.17</v>
      </c>
      <c r="E17" s="5">
        <f t="shared" si="0"/>
        <v>81.699999999999989</v>
      </c>
      <c r="F17" s="5">
        <f t="shared" si="1"/>
        <v>-1.83</v>
      </c>
    </row>
    <row r="18" spans="1:6" ht="18" customHeight="1" x14ac:dyDescent="0.25">
      <c r="A18" s="7">
        <v>1080400001</v>
      </c>
      <c r="B18" s="8" t="s">
        <v>219</v>
      </c>
      <c r="C18" s="9">
        <v>10</v>
      </c>
      <c r="D18" s="10">
        <v>8.17</v>
      </c>
      <c r="E18" s="9">
        <f t="shared" si="0"/>
        <v>81.699999999999989</v>
      </c>
      <c r="F18" s="9">
        <f t="shared" si="1"/>
        <v>-1.83</v>
      </c>
    </row>
    <row r="19" spans="1:6" ht="0.75" hidden="1" customHeight="1" x14ac:dyDescent="0.25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 x14ac:dyDescent="0.25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 x14ac:dyDescent="0.25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 x14ac:dyDescent="0.25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 x14ac:dyDescent="0.25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31.5" hidden="1" x14ac:dyDescent="0.25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 x14ac:dyDescent="0.25">
      <c r="A25" s="3"/>
      <c r="B25" s="4" t="s">
        <v>12</v>
      </c>
      <c r="C25" s="5">
        <f>C26+C30+C33+C38+C36</f>
        <v>280</v>
      </c>
      <c r="D25" s="5">
        <f>D26+D30+D33+D36+D38</f>
        <v>1700.5371600000001</v>
      </c>
      <c r="E25" s="5">
        <f t="shared" si="0"/>
        <v>607.3347</v>
      </c>
      <c r="F25" s="5">
        <f t="shared" si="1"/>
        <v>1420.5371600000001</v>
      </c>
    </row>
    <row r="26" spans="1:6" s="6" customFormat="1" ht="30.75" customHeight="1" x14ac:dyDescent="0.25">
      <c r="A26" s="68">
        <v>1110000000</v>
      </c>
      <c r="B26" s="69" t="s">
        <v>122</v>
      </c>
      <c r="C26" s="5">
        <f>C28+C29</f>
        <v>250</v>
      </c>
      <c r="D26" s="5">
        <f>D28+D29</f>
        <v>258.50299999999999</v>
      </c>
      <c r="E26" s="5">
        <f t="shared" si="0"/>
        <v>103.40119999999999</v>
      </c>
      <c r="F26" s="5">
        <f t="shared" si="1"/>
        <v>8.5029999999999859</v>
      </c>
    </row>
    <row r="27" spans="1:6" x14ac:dyDescent="0.25">
      <c r="A27" s="16">
        <v>1110502501</v>
      </c>
      <c r="B27" s="17" t="s">
        <v>217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5.75" customHeight="1" x14ac:dyDescent="0.25">
      <c r="A28" s="16">
        <v>1110502510</v>
      </c>
      <c r="B28" s="17" t="s">
        <v>305</v>
      </c>
      <c r="C28" s="12">
        <v>200</v>
      </c>
      <c r="D28" s="10">
        <v>221</v>
      </c>
      <c r="E28" s="9">
        <f t="shared" si="0"/>
        <v>110.5</v>
      </c>
      <c r="F28" s="9">
        <f t="shared" si="1"/>
        <v>21</v>
      </c>
    </row>
    <row r="29" spans="1:6" x14ac:dyDescent="0.25">
      <c r="A29" s="7">
        <v>1110503000</v>
      </c>
      <c r="B29" s="11" t="s">
        <v>216</v>
      </c>
      <c r="C29" s="12">
        <v>50</v>
      </c>
      <c r="D29" s="10">
        <v>37.503</v>
      </c>
      <c r="E29" s="9">
        <f>SUM(D29/C29*100)</f>
        <v>75.006</v>
      </c>
      <c r="F29" s="9">
        <f t="shared" si="1"/>
        <v>-12.497</v>
      </c>
    </row>
    <row r="30" spans="1:6" s="15" customFormat="1" ht="35.25" customHeight="1" x14ac:dyDescent="0.25">
      <c r="A30" s="68">
        <v>1130000000</v>
      </c>
      <c r="B30" s="69" t="s">
        <v>124</v>
      </c>
      <c r="C30" s="5">
        <f>C31</f>
        <v>30</v>
      </c>
      <c r="D30" s="5">
        <f>D31+D32</f>
        <v>165.45399</v>
      </c>
      <c r="E30" s="5">
        <f t="shared" si="0"/>
        <v>551.51330000000007</v>
      </c>
      <c r="F30" s="5">
        <f t="shared" si="1"/>
        <v>135.45399</v>
      </c>
    </row>
    <row r="31" spans="1:6" ht="30" customHeight="1" x14ac:dyDescent="0.25">
      <c r="A31" s="7">
        <v>1130206510</v>
      </c>
      <c r="B31" s="8" t="s">
        <v>395</v>
      </c>
      <c r="C31" s="9">
        <v>30</v>
      </c>
      <c r="D31" s="10">
        <v>145.78618</v>
      </c>
      <c r="E31" s="9">
        <f>SUM(D31/C31*100)</f>
        <v>485.95393333333334</v>
      </c>
      <c r="F31" s="9">
        <f t="shared" si="1"/>
        <v>115.78618</v>
      </c>
    </row>
    <row r="32" spans="1:6" ht="18" customHeight="1" x14ac:dyDescent="0.25">
      <c r="A32" s="7">
        <v>1130299000</v>
      </c>
      <c r="B32" s="8" t="s">
        <v>307</v>
      </c>
      <c r="C32" s="9"/>
      <c r="D32" s="10">
        <v>19.667809999999999</v>
      </c>
      <c r="E32" s="9"/>
      <c r="F32" s="9"/>
    </row>
    <row r="33" spans="1:7" ht="18.75" customHeight="1" x14ac:dyDescent="0.25">
      <c r="A33" s="70">
        <v>1140000000</v>
      </c>
      <c r="B33" s="71" t="s">
        <v>125</v>
      </c>
      <c r="C33" s="5">
        <f>C34+C35</f>
        <v>0</v>
      </c>
      <c r="D33" s="5">
        <f>D34+D35</f>
        <v>1132.1469999999999</v>
      </c>
      <c r="E33" s="5" t="e">
        <f t="shared" si="0"/>
        <v>#DIV/0!</v>
      </c>
      <c r="F33" s="5">
        <f t="shared" si="1"/>
        <v>1132.1469999999999</v>
      </c>
    </row>
    <row r="34" spans="1:7" ht="15" customHeight="1" x14ac:dyDescent="0.25">
      <c r="A34" s="16">
        <v>1140200000</v>
      </c>
      <c r="B34" s="18" t="s">
        <v>126</v>
      </c>
      <c r="C34" s="9">
        <v>0</v>
      </c>
      <c r="D34" s="10">
        <v>562.14700000000005</v>
      </c>
      <c r="E34" s="9" t="e">
        <f t="shared" si="0"/>
        <v>#DIV/0!</v>
      </c>
      <c r="F34" s="9">
        <f t="shared" si="1"/>
        <v>562.14700000000005</v>
      </c>
    </row>
    <row r="35" spans="1:7" ht="15" customHeight="1" x14ac:dyDescent="0.25">
      <c r="A35" s="7">
        <v>1140600000</v>
      </c>
      <c r="B35" s="8" t="s">
        <v>214</v>
      </c>
      <c r="C35" s="9">
        <v>0</v>
      </c>
      <c r="D35" s="10">
        <v>570</v>
      </c>
      <c r="E35" s="9" t="e">
        <f t="shared" si="0"/>
        <v>#DIV/0!</v>
      </c>
      <c r="F35" s="9">
        <f t="shared" si="1"/>
        <v>570</v>
      </c>
    </row>
    <row r="36" spans="1:7" ht="25.5" customHeight="1" x14ac:dyDescent="0.25">
      <c r="A36" s="99">
        <v>1160000000</v>
      </c>
      <c r="B36" s="13" t="s">
        <v>236</v>
      </c>
      <c r="C36" s="5">
        <f>C37</f>
        <v>0</v>
      </c>
      <c r="D36" s="14">
        <f>D37</f>
        <v>144.43316999999999</v>
      </c>
      <c r="E36" s="9" t="e">
        <f t="shared" si="0"/>
        <v>#DIV/0!</v>
      </c>
      <c r="F36" s="9">
        <f t="shared" si="1"/>
        <v>144.43316999999999</v>
      </c>
    </row>
    <row r="37" spans="1:7" ht="47.25" customHeight="1" x14ac:dyDescent="0.25">
      <c r="A37" s="7">
        <v>1160701010</v>
      </c>
      <c r="B37" s="8" t="s">
        <v>390</v>
      </c>
      <c r="C37" s="9">
        <v>0</v>
      </c>
      <c r="D37" s="10">
        <v>144.43316999999999</v>
      </c>
      <c r="E37" s="9" t="e">
        <f t="shared" si="0"/>
        <v>#DIV/0!</v>
      </c>
      <c r="F37" s="9">
        <f t="shared" si="1"/>
        <v>144.43316999999999</v>
      </c>
    </row>
    <row r="38" spans="1:7" ht="28.5" customHeight="1" x14ac:dyDescent="0.25">
      <c r="A38" s="3">
        <v>1170000000</v>
      </c>
      <c r="B38" s="13" t="s">
        <v>128</v>
      </c>
      <c r="C38" s="5">
        <f>C39+C40</f>
        <v>0</v>
      </c>
      <c r="D38" s="5">
        <f>D39+D40</f>
        <v>0</v>
      </c>
      <c r="E38" s="5" t="e">
        <f t="shared" si="0"/>
        <v>#DIV/0!</v>
      </c>
      <c r="F38" s="5">
        <f t="shared" si="1"/>
        <v>0</v>
      </c>
    </row>
    <row r="39" spans="1:7" ht="19.5" customHeight="1" x14ac:dyDescent="0.25">
      <c r="A39" s="7">
        <v>1170105005</v>
      </c>
      <c r="B39" s="8" t="s">
        <v>15</v>
      </c>
      <c r="C39" s="9">
        <v>0</v>
      </c>
      <c r="D39" s="9">
        <v>0</v>
      </c>
      <c r="E39" s="9" t="e">
        <f t="shared" si="0"/>
        <v>#DIV/0!</v>
      </c>
      <c r="F39" s="9">
        <f t="shared" si="1"/>
        <v>0</v>
      </c>
    </row>
    <row r="40" spans="1:7" ht="15" customHeight="1" x14ac:dyDescent="0.25">
      <c r="A40" s="7">
        <v>1170505005</v>
      </c>
      <c r="B40" s="11" t="s">
        <v>212</v>
      </c>
      <c r="C40" s="9">
        <v>0</v>
      </c>
      <c r="D40" s="10">
        <v>0</v>
      </c>
      <c r="E40" s="9" t="e">
        <f t="shared" si="0"/>
        <v>#DIV/0!</v>
      </c>
      <c r="F40" s="9">
        <f t="shared" si="1"/>
        <v>0</v>
      </c>
    </row>
    <row r="41" spans="1:7" s="6" customFormat="1" ht="44.25" customHeight="1" x14ac:dyDescent="0.25">
      <c r="A41" s="3">
        <v>1000000000</v>
      </c>
      <c r="B41" s="4" t="s">
        <v>16</v>
      </c>
      <c r="C41" s="125">
        <f>SUM(C4,C25)</f>
        <v>3972.4</v>
      </c>
      <c r="D41" s="125">
        <f>D4+D25</f>
        <v>6686.2258999999995</v>
      </c>
      <c r="E41" s="5">
        <f t="shared" si="0"/>
        <v>168.31703504178833</v>
      </c>
      <c r="F41" s="5">
        <f t="shared" si="1"/>
        <v>2713.8258999999994</v>
      </c>
    </row>
    <row r="42" spans="1:7" s="6" customFormat="1" ht="20.25" customHeight="1" x14ac:dyDescent="0.25">
      <c r="A42" s="3">
        <v>2000000000</v>
      </c>
      <c r="B42" s="4" t="s">
        <v>17</v>
      </c>
      <c r="C42" s="376">
        <f>C43+C44+C45+C47+C48+C46+C49</f>
        <v>55210.448759999999</v>
      </c>
      <c r="D42" s="421">
        <f>D43+D44+D45+D47+D48+D46+D49</f>
        <v>32315.880650000003</v>
      </c>
      <c r="E42" s="5">
        <f t="shared" si="0"/>
        <v>58.532182541165788</v>
      </c>
      <c r="F42" s="5">
        <f t="shared" si="1"/>
        <v>-22894.568109999997</v>
      </c>
      <c r="G42" s="19"/>
    </row>
    <row r="43" spans="1:7" ht="17.25" customHeight="1" x14ac:dyDescent="0.25">
      <c r="A43" s="16">
        <v>2021000000</v>
      </c>
      <c r="B43" s="17" t="s">
        <v>18</v>
      </c>
      <c r="C43" s="377">
        <v>5604.2</v>
      </c>
      <c r="D43" s="378">
        <v>5604.2</v>
      </c>
      <c r="E43" s="9">
        <f t="shared" si="0"/>
        <v>100</v>
      </c>
      <c r="F43" s="9">
        <f t="shared" si="1"/>
        <v>0</v>
      </c>
    </row>
    <row r="44" spans="1:7" ht="27.75" hidden="1" customHeight="1" x14ac:dyDescent="0.25">
      <c r="A44" s="16">
        <v>2021500200</v>
      </c>
      <c r="B44" s="17" t="s">
        <v>223</v>
      </c>
      <c r="C44" s="12">
        <v>0</v>
      </c>
      <c r="D44" s="20">
        <v>0</v>
      </c>
      <c r="E44" s="9" t="e">
        <f t="shared" si="0"/>
        <v>#DIV/0!</v>
      </c>
      <c r="F44" s="9">
        <f t="shared" si="1"/>
        <v>0</v>
      </c>
    </row>
    <row r="45" spans="1:7" ht="21" customHeight="1" x14ac:dyDescent="0.25">
      <c r="A45" s="16">
        <v>2022000000</v>
      </c>
      <c r="B45" s="17" t="s">
        <v>19</v>
      </c>
      <c r="C45" s="12">
        <v>47116.958250000003</v>
      </c>
      <c r="D45" s="10">
        <v>25825.013040000002</v>
      </c>
      <c r="E45" s="9">
        <f t="shared" si="0"/>
        <v>54.810441928305075</v>
      </c>
      <c r="F45" s="9">
        <f t="shared" si="1"/>
        <v>-21291.945210000002</v>
      </c>
    </row>
    <row r="46" spans="1:7" ht="23.25" hidden="1" customHeight="1" x14ac:dyDescent="0.25">
      <c r="A46" s="16">
        <v>2022999910</v>
      </c>
      <c r="B46" s="18" t="s">
        <v>322</v>
      </c>
      <c r="C46" s="12">
        <v>0</v>
      </c>
      <c r="D46" s="10">
        <v>0</v>
      </c>
      <c r="E46" s="9" t="e">
        <f>SUM(D46/C46*100)</f>
        <v>#DIV/0!</v>
      </c>
      <c r="F46" s="9">
        <f>SUM(D46-C46)</f>
        <v>0</v>
      </c>
    </row>
    <row r="47" spans="1:7" ht="21" customHeight="1" x14ac:dyDescent="0.25">
      <c r="A47" s="16">
        <v>2023000000</v>
      </c>
      <c r="B47" s="17" t="s">
        <v>20</v>
      </c>
      <c r="C47" s="12">
        <v>309.01751000000002</v>
      </c>
      <c r="D47" s="180">
        <v>309.01751000000002</v>
      </c>
      <c r="E47" s="9">
        <f t="shared" si="0"/>
        <v>100</v>
      </c>
      <c r="F47" s="9">
        <f t="shared" si="1"/>
        <v>0</v>
      </c>
    </row>
    <row r="48" spans="1:7" ht="15.75" customHeight="1" x14ac:dyDescent="0.25">
      <c r="A48" s="16">
        <v>2024000000</v>
      </c>
      <c r="B48" s="17" t="s">
        <v>21</v>
      </c>
      <c r="C48" s="12">
        <v>2180.2730000000001</v>
      </c>
      <c r="D48" s="181">
        <v>577.65009999999995</v>
      </c>
      <c r="E48" s="9">
        <f t="shared" si="0"/>
        <v>26.49439313333697</v>
      </c>
      <c r="F48" s="9">
        <f t="shared" si="1"/>
        <v>-1602.6229000000003</v>
      </c>
    </row>
    <row r="49" spans="1:8" ht="16.5" customHeight="1" x14ac:dyDescent="0.25">
      <c r="A49" s="7">
        <v>2070500010</v>
      </c>
      <c r="B49" s="17" t="s">
        <v>323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ht="47.25" hidden="1" x14ac:dyDescent="0.25">
      <c r="A50" s="16">
        <v>2020900000</v>
      </c>
      <c r="B50" s="18" t="s">
        <v>22</v>
      </c>
      <c r="C50" s="263"/>
      <c r="D50" s="262"/>
      <c r="E50" s="9" t="e">
        <f t="shared" si="0"/>
        <v>#DIV/0!</v>
      </c>
      <c r="F50" s="9">
        <f t="shared" si="1"/>
        <v>0</v>
      </c>
    </row>
    <row r="51" spans="1:8" hidden="1" x14ac:dyDescent="0.25">
      <c r="A51" s="7">
        <v>2190500005</v>
      </c>
      <c r="B51" s="11" t="s">
        <v>23</v>
      </c>
      <c r="C51" s="261">
        <v>0</v>
      </c>
      <c r="D51" s="261"/>
      <c r="E51" s="5"/>
      <c r="F51" s="5">
        <f>SUM(D51-C51)</f>
        <v>0</v>
      </c>
    </row>
    <row r="52" spans="1:8" s="6" customFormat="1" ht="31.5" hidden="1" x14ac:dyDescent="0.25">
      <c r="A52" s="3">
        <v>3000000000</v>
      </c>
      <c r="B52" s="13" t="s">
        <v>24</v>
      </c>
      <c r="C52" s="264">
        <v>0</v>
      </c>
      <c r="D52" s="261">
        <v>0</v>
      </c>
      <c r="E52" s="5" t="e">
        <f t="shared" si="0"/>
        <v>#DIV/0!</v>
      </c>
      <c r="F52" s="5">
        <f t="shared" si="1"/>
        <v>0</v>
      </c>
    </row>
    <row r="53" spans="1:8" s="6" customFormat="1" ht="23.25" customHeight="1" x14ac:dyDescent="0.25">
      <c r="A53" s="3"/>
      <c r="B53" s="4" t="s">
        <v>25</v>
      </c>
      <c r="C53" s="224">
        <f>SUM(C41,C42,C52)</f>
        <v>59182.848760000001</v>
      </c>
      <c r="D53" s="393">
        <f>D41+D42</f>
        <v>39002.106550000004</v>
      </c>
      <c r="E53" s="5">
        <f t="shared" si="0"/>
        <v>65.901029381269694</v>
      </c>
      <c r="F53" s="5">
        <f t="shared" si="1"/>
        <v>-20180.742209999997</v>
      </c>
      <c r="G53" s="93"/>
      <c r="H53" s="93"/>
    </row>
    <row r="54" spans="1:8" s="6" customFormat="1" x14ac:dyDescent="0.25">
      <c r="A54" s="3"/>
      <c r="B54" s="21" t="s">
        <v>299</v>
      </c>
      <c r="C54" s="5">
        <f>C53-C102</f>
        <v>-1794.7397900000069</v>
      </c>
      <c r="D54" s="5">
        <f>D53-D102</f>
        <v>1929.6900700000042</v>
      </c>
      <c r="E54" s="22"/>
      <c r="F54" s="22"/>
    </row>
    <row r="55" spans="1:8" ht="15.75" customHeight="1" x14ac:dyDescent="0.25">
      <c r="A55" s="23"/>
      <c r="B55" s="24"/>
      <c r="C55" s="113"/>
      <c r="D55" s="113"/>
      <c r="E55" s="26"/>
      <c r="F55" s="27"/>
    </row>
    <row r="56" spans="1:8" ht="63" x14ac:dyDescent="0.25">
      <c r="A56" s="28" t="s">
        <v>0</v>
      </c>
      <c r="B56" s="28" t="s">
        <v>26</v>
      </c>
      <c r="C56" s="72" t="s">
        <v>394</v>
      </c>
      <c r="D56" s="399" t="s">
        <v>409</v>
      </c>
      <c r="E56" s="72" t="s">
        <v>2</v>
      </c>
      <c r="F56" s="73" t="s">
        <v>3</v>
      </c>
    </row>
    <row r="57" spans="1:8" x14ac:dyDescent="0.25">
      <c r="A57" s="29">
        <v>1</v>
      </c>
      <c r="B57" s="28">
        <v>2</v>
      </c>
      <c r="C57" s="86">
        <v>3</v>
      </c>
      <c r="D57" s="86">
        <v>4</v>
      </c>
      <c r="E57" s="86">
        <v>5</v>
      </c>
      <c r="F57" s="86">
        <v>6</v>
      </c>
    </row>
    <row r="58" spans="1:8" s="6" customFormat="1" ht="17.25" customHeight="1" x14ac:dyDescent="0.25">
      <c r="A58" s="30" t="s">
        <v>27</v>
      </c>
      <c r="B58" s="31" t="s">
        <v>28</v>
      </c>
      <c r="C58" s="401">
        <f>C59+C60+C61+C62+C63+C65+C64</f>
        <v>2166.48621</v>
      </c>
      <c r="D58" s="101">
        <f>D59+D60+D61+D62+D63+D65+D64</f>
        <v>1969.2427499999999</v>
      </c>
      <c r="E58" s="34">
        <f>SUM(D58/C58*100)</f>
        <v>90.895697415955397</v>
      </c>
      <c r="F58" s="34">
        <f>SUM(D58-C58)</f>
        <v>-197.24346000000014</v>
      </c>
    </row>
    <row r="59" spans="1:8" s="6" customFormat="1" ht="0.75" hidden="1" customHeight="1" x14ac:dyDescent="0.25">
      <c r="A59" s="35" t="s">
        <v>29</v>
      </c>
      <c r="B59" s="36" t="s">
        <v>30</v>
      </c>
      <c r="C59" s="91"/>
      <c r="D59" s="91"/>
      <c r="E59" s="38"/>
      <c r="F59" s="38"/>
    </row>
    <row r="60" spans="1:8" ht="16.5" customHeight="1" x14ac:dyDescent="0.25">
      <c r="A60" s="35" t="s">
        <v>31</v>
      </c>
      <c r="B60" s="39" t="s">
        <v>32</v>
      </c>
      <c r="C60" s="143">
        <v>2123.1742100000001</v>
      </c>
      <c r="D60" s="91">
        <v>1956.93075</v>
      </c>
      <c r="E60" s="38">
        <f t="shared" ref="E60:E102" si="3">SUM(D60/C60*100)</f>
        <v>92.170050897519147</v>
      </c>
      <c r="F60" s="38">
        <f t="shared" ref="F60:F102" si="4">SUM(D60-C60)</f>
        <v>-166.24346000000014</v>
      </c>
    </row>
    <row r="61" spans="1:8" ht="12.75" hidden="1" customHeight="1" x14ac:dyDescent="0.25">
      <c r="A61" s="35" t="s">
        <v>33</v>
      </c>
      <c r="B61" s="39" t="s">
        <v>34</v>
      </c>
      <c r="C61" s="91"/>
      <c r="D61" s="91"/>
      <c r="E61" s="38" t="e">
        <f t="shared" si="3"/>
        <v>#DIV/0!</v>
      </c>
      <c r="F61" s="38">
        <f t="shared" si="4"/>
        <v>0</v>
      </c>
    </row>
    <row r="62" spans="1:8" ht="12.75" hidden="1" customHeight="1" x14ac:dyDescent="0.25">
      <c r="A62" s="35" t="s">
        <v>35</v>
      </c>
      <c r="B62" s="39" t="s">
        <v>36</v>
      </c>
      <c r="C62" s="91"/>
      <c r="D62" s="91"/>
      <c r="E62" s="38" t="e">
        <f t="shared" si="3"/>
        <v>#DIV/0!</v>
      </c>
      <c r="F62" s="38">
        <f t="shared" si="4"/>
        <v>0</v>
      </c>
    </row>
    <row r="63" spans="1:8" ht="19.5" customHeight="1" x14ac:dyDescent="0.25">
      <c r="A63" s="35" t="s">
        <v>37</v>
      </c>
      <c r="B63" s="39" t="s">
        <v>38</v>
      </c>
      <c r="C63" s="91">
        <v>0</v>
      </c>
      <c r="D63" s="91">
        <v>0</v>
      </c>
      <c r="E63" s="38" t="e">
        <f t="shared" si="3"/>
        <v>#DIV/0!</v>
      </c>
      <c r="F63" s="38">
        <f t="shared" si="4"/>
        <v>0</v>
      </c>
    </row>
    <row r="64" spans="1:8" ht="18" customHeight="1" x14ac:dyDescent="0.25">
      <c r="A64" s="35" t="s">
        <v>39</v>
      </c>
      <c r="B64" s="39" t="s">
        <v>40</v>
      </c>
      <c r="C64" s="102">
        <v>1</v>
      </c>
      <c r="D64" s="102">
        <v>0</v>
      </c>
      <c r="E64" s="38">
        <f t="shared" si="3"/>
        <v>0</v>
      </c>
      <c r="F64" s="38">
        <f t="shared" si="4"/>
        <v>-1</v>
      </c>
    </row>
    <row r="65" spans="1:7" ht="18" customHeight="1" x14ac:dyDescent="0.25">
      <c r="A65" s="35" t="s">
        <v>41</v>
      </c>
      <c r="B65" s="39" t="s">
        <v>42</v>
      </c>
      <c r="C65" s="91">
        <v>42.311999999999998</v>
      </c>
      <c r="D65" s="91">
        <v>12.311999999999999</v>
      </c>
      <c r="E65" s="38">
        <f t="shared" si="3"/>
        <v>29.098128190584234</v>
      </c>
      <c r="F65" s="38">
        <f t="shared" si="4"/>
        <v>-30</v>
      </c>
    </row>
    <row r="66" spans="1:7" s="6" customFormat="1" ht="15.75" customHeight="1" x14ac:dyDescent="0.25">
      <c r="A66" s="41" t="s">
        <v>43</v>
      </c>
      <c r="B66" s="42" t="s">
        <v>44</v>
      </c>
      <c r="C66" s="402">
        <f>C67</f>
        <v>273.28600999999998</v>
      </c>
      <c r="D66" s="22">
        <f>D67</f>
        <v>273.28600999999998</v>
      </c>
      <c r="E66" s="34">
        <f t="shared" si="3"/>
        <v>100</v>
      </c>
      <c r="F66" s="34">
        <f t="shared" si="4"/>
        <v>0</v>
      </c>
    </row>
    <row r="67" spans="1:7" x14ac:dyDescent="0.25">
      <c r="A67" s="43" t="s">
        <v>45</v>
      </c>
      <c r="B67" s="44" t="s">
        <v>46</v>
      </c>
      <c r="C67" s="91">
        <v>273.28600999999998</v>
      </c>
      <c r="D67" s="91">
        <v>273.28600999999998</v>
      </c>
      <c r="E67" s="38">
        <f t="shared" si="3"/>
        <v>100</v>
      </c>
      <c r="F67" s="38">
        <f t="shared" si="4"/>
        <v>0</v>
      </c>
    </row>
    <row r="68" spans="1:7" s="6" customFormat="1" ht="20.25" customHeight="1" x14ac:dyDescent="0.25">
      <c r="A68" s="30" t="s">
        <v>47</v>
      </c>
      <c r="B68" s="31" t="s">
        <v>48</v>
      </c>
      <c r="C68" s="22">
        <f>C71+C73+C72</f>
        <v>16.631340000000002</v>
      </c>
      <c r="D68" s="22">
        <f>D71+D73+D72</f>
        <v>16.631340000000002</v>
      </c>
      <c r="E68" s="34">
        <f t="shared" si="3"/>
        <v>100</v>
      </c>
      <c r="F68" s="34">
        <f t="shared" si="4"/>
        <v>0</v>
      </c>
    </row>
    <row r="69" spans="1:7" ht="0.75" hidden="1" customHeight="1" x14ac:dyDescent="0.25">
      <c r="A69" s="35" t="s">
        <v>49</v>
      </c>
      <c r="B69" s="39" t="s">
        <v>50</v>
      </c>
      <c r="C69" s="91"/>
      <c r="D69" s="91"/>
      <c r="E69" s="34" t="e">
        <f t="shared" si="3"/>
        <v>#DIV/0!</v>
      </c>
      <c r="F69" s="34">
        <f t="shared" si="4"/>
        <v>0</v>
      </c>
    </row>
    <row r="70" spans="1:7" ht="16.5" hidden="1" customHeight="1" x14ac:dyDescent="0.25">
      <c r="A70" s="45" t="s">
        <v>51</v>
      </c>
      <c r="B70" s="39" t="s">
        <v>52</v>
      </c>
      <c r="C70" s="91">
        <v>0</v>
      </c>
      <c r="D70" s="91"/>
      <c r="E70" s="34" t="e">
        <f t="shared" si="3"/>
        <v>#DIV/0!</v>
      </c>
      <c r="F70" s="34">
        <f t="shared" si="4"/>
        <v>0</v>
      </c>
    </row>
    <row r="71" spans="1:7" ht="15.75" customHeight="1" x14ac:dyDescent="0.25">
      <c r="A71" s="46" t="s">
        <v>53</v>
      </c>
      <c r="B71" s="47" t="s">
        <v>54</v>
      </c>
      <c r="C71" s="91">
        <v>7.6313399999999998</v>
      </c>
      <c r="D71" s="91">
        <v>7.6313399999999998</v>
      </c>
      <c r="E71" s="34">
        <f t="shared" si="3"/>
        <v>100</v>
      </c>
      <c r="F71" s="34">
        <f t="shared" si="4"/>
        <v>0</v>
      </c>
    </row>
    <row r="72" spans="1:7" ht="15.75" customHeight="1" x14ac:dyDescent="0.25">
      <c r="A72" s="46" t="s">
        <v>210</v>
      </c>
      <c r="B72" s="47" t="s">
        <v>211</v>
      </c>
      <c r="C72" s="91">
        <v>7</v>
      </c>
      <c r="D72" s="91">
        <v>7</v>
      </c>
      <c r="E72" s="38">
        <f t="shared" ref="E72" si="5">SUM(D72/C72*100)</f>
        <v>100</v>
      </c>
      <c r="F72" s="38">
        <f t="shared" ref="F72" si="6">SUM(D72-C72)</f>
        <v>0</v>
      </c>
    </row>
    <row r="73" spans="1:7" ht="15.75" customHeight="1" x14ac:dyDescent="0.25">
      <c r="A73" s="46" t="s">
        <v>330</v>
      </c>
      <c r="B73" s="47" t="s">
        <v>331</v>
      </c>
      <c r="C73" s="91">
        <v>2</v>
      </c>
      <c r="D73" s="91">
        <v>2</v>
      </c>
      <c r="E73" s="34">
        <v>0</v>
      </c>
      <c r="F73" s="34">
        <v>0</v>
      </c>
    </row>
    <row r="74" spans="1:7" s="6" customFormat="1" ht="17.25" customHeight="1" x14ac:dyDescent="0.25">
      <c r="A74" s="374" t="s">
        <v>55</v>
      </c>
      <c r="B74" s="31" t="s">
        <v>56</v>
      </c>
      <c r="C74" s="403">
        <f>C76+C77+C78+C75</f>
        <v>2844.9801499999999</v>
      </c>
      <c r="D74" s="103">
        <f>SUM(D75:D78)</f>
        <v>2513.65515</v>
      </c>
      <c r="E74" s="34">
        <f t="shared" si="3"/>
        <v>88.354048797141886</v>
      </c>
      <c r="F74" s="34">
        <f t="shared" si="4"/>
        <v>-331.32499999999982</v>
      </c>
    </row>
    <row r="75" spans="1:7" ht="15" customHeight="1" x14ac:dyDescent="0.25">
      <c r="A75" s="35" t="s">
        <v>57</v>
      </c>
      <c r="B75" s="39" t="s">
        <v>58</v>
      </c>
      <c r="C75" s="104">
        <v>35.731499999999997</v>
      </c>
      <c r="D75" s="91">
        <v>35.731499999999997</v>
      </c>
      <c r="E75" s="38">
        <f t="shared" si="3"/>
        <v>100</v>
      </c>
      <c r="F75" s="38">
        <f t="shared" si="4"/>
        <v>0</v>
      </c>
    </row>
    <row r="76" spans="1:7" s="6" customFormat="1" ht="15.75" customHeight="1" x14ac:dyDescent="0.25">
      <c r="A76" s="35" t="s">
        <v>59</v>
      </c>
      <c r="B76" s="39" t="s">
        <v>60</v>
      </c>
      <c r="C76" s="104">
        <v>60</v>
      </c>
      <c r="D76" s="91">
        <v>60</v>
      </c>
      <c r="E76" s="38">
        <f t="shared" si="3"/>
        <v>100</v>
      </c>
      <c r="F76" s="38">
        <f t="shared" si="4"/>
        <v>0</v>
      </c>
      <c r="G76" s="50"/>
    </row>
    <row r="77" spans="1:7" x14ac:dyDescent="0.25">
      <c r="A77" s="35" t="s">
        <v>61</v>
      </c>
      <c r="B77" s="39" t="s">
        <v>62</v>
      </c>
      <c r="C77" s="104">
        <v>2714.24865</v>
      </c>
      <c r="D77" s="91">
        <v>2382.9236500000002</v>
      </c>
      <c r="E77" s="38">
        <f t="shared" si="3"/>
        <v>87.793122785563511</v>
      </c>
      <c r="F77" s="38">
        <f t="shared" si="4"/>
        <v>-331.32499999999982</v>
      </c>
    </row>
    <row r="78" spans="1:7" x14ac:dyDescent="0.25">
      <c r="A78" s="35" t="s">
        <v>63</v>
      </c>
      <c r="B78" s="39" t="s">
        <v>64</v>
      </c>
      <c r="C78" s="104">
        <v>35</v>
      </c>
      <c r="D78" s="91">
        <v>35</v>
      </c>
      <c r="E78" s="38">
        <f t="shared" si="3"/>
        <v>100</v>
      </c>
      <c r="F78" s="38">
        <f t="shared" si="4"/>
        <v>0</v>
      </c>
    </row>
    <row r="79" spans="1:7" s="6" customFormat="1" ht="24" customHeight="1" x14ac:dyDescent="0.25">
      <c r="A79" s="30" t="s">
        <v>65</v>
      </c>
      <c r="B79" s="31" t="s">
        <v>66</v>
      </c>
      <c r="C79" s="404">
        <f>SUM(C80:C83)</f>
        <v>52464.654540000003</v>
      </c>
      <c r="D79" s="22">
        <f>SUM(D80:D83)</f>
        <v>29146.558089999999</v>
      </c>
      <c r="E79" s="34">
        <f t="shared" si="3"/>
        <v>55.554655501978253</v>
      </c>
      <c r="F79" s="34">
        <f t="shared" si="4"/>
        <v>-23318.096450000005</v>
      </c>
    </row>
    <row r="80" spans="1:7" ht="2.25" hidden="1" customHeight="1" x14ac:dyDescent="0.25">
      <c r="A80" s="35" t="s">
        <v>67</v>
      </c>
      <c r="B80" s="51" t="s">
        <v>68</v>
      </c>
      <c r="C80" s="91">
        <v>0</v>
      </c>
      <c r="D80" s="91">
        <v>0</v>
      </c>
      <c r="E80" s="38" t="e">
        <f t="shared" si="3"/>
        <v>#DIV/0!</v>
      </c>
      <c r="F80" s="38">
        <f t="shared" si="4"/>
        <v>0</v>
      </c>
    </row>
    <row r="81" spans="1:6" ht="15" customHeight="1" x14ac:dyDescent="0.25">
      <c r="A81" s="35" t="s">
        <v>69</v>
      </c>
      <c r="B81" s="51" t="s">
        <v>70</v>
      </c>
      <c r="C81" s="91">
        <v>32112.905129999999</v>
      </c>
      <c r="D81" s="91">
        <v>8894.8761400000003</v>
      </c>
      <c r="E81" s="38">
        <f t="shared" si="3"/>
        <v>27.698758813603487</v>
      </c>
      <c r="F81" s="38">
        <f t="shared" si="4"/>
        <v>-23218.028989999999</v>
      </c>
    </row>
    <row r="82" spans="1:6" ht="15" customHeight="1" x14ac:dyDescent="0.25">
      <c r="A82" s="35" t="s">
        <v>71</v>
      </c>
      <c r="B82" s="39" t="s">
        <v>72</v>
      </c>
      <c r="C82" s="91">
        <v>20351.74941</v>
      </c>
      <c r="D82" s="91">
        <v>20251.681949999998</v>
      </c>
      <c r="E82" s="38">
        <f t="shared" si="3"/>
        <v>99.508310278472507</v>
      </c>
      <c r="F82" s="38">
        <f t="shared" si="4"/>
        <v>-100.06746000000203</v>
      </c>
    </row>
    <row r="83" spans="1:6" ht="18" hidden="1" customHeight="1" x14ac:dyDescent="0.25">
      <c r="A83" s="35" t="s">
        <v>247</v>
      </c>
      <c r="B83" s="39" t="s">
        <v>248</v>
      </c>
      <c r="C83" s="91">
        <v>0</v>
      </c>
      <c r="D83" s="91">
        <v>0</v>
      </c>
      <c r="E83" s="38" t="e">
        <f t="shared" si="3"/>
        <v>#DIV/0!</v>
      </c>
      <c r="F83" s="38">
        <f t="shared" si="4"/>
        <v>0</v>
      </c>
    </row>
    <row r="84" spans="1:6" s="6" customFormat="1" ht="16.5" customHeight="1" x14ac:dyDescent="0.25">
      <c r="A84" s="30" t="s">
        <v>81</v>
      </c>
      <c r="B84" s="31" t="s">
        <v>82</v>
      </c>
      <c r="C84" s="22">
        <f>C85+C86</f>
        <v>3211.5502999999999</v>
      </c>
      <c r="D84" s="22">
        <f>D85+D86</f>
        <v>3153.0431400000002</v>
      </c>
      <c r="E84" s="34">
        <f t="shared" si="3"/>
        <v>98.178226883134926</v>
      </c>
      <c r="F84" s="34">
        <f t="shared" si="4"/>
        <v>-58.507159999999658</v>
      </c>
    </row>
    <row r="85" spans="1:6" ht="14.25" customHeight="1" x14ac:dyDescent="0.25">
      <c r="A85" s="35" t="s">
        <v>83</v>
      </c>
      <c r="B85" s="39" t="s">
        <v>225</v>
      </c>
      <c r="C85" s="91">
        <v>3211.5502999999999</v>
      </c>
      <c r="D85" s="91">
        <v>3153.0431400000002</v>
      </c>
      <c r="E85" s="38">
        <f t="shared" si="3"/>
        <v>98.178226883134926</v>
      </c>
      <c r="F85" s="38">
        <f t="shared" si="4"/>
        <v>-58.507159999999658</v>
      </c>
    </row>
    <row r="86" spans="1:6" ht="14.25" hidden="1" customHeight="1" x14ac:dyDescent="0.25">
      <c r="A86" s="35" t="s">
        <v>254</v>
      </c>
      <c r="B86" s="39" t="s">
        <v>255</v>
      </c>
      <c r="C86" s="91"/>
      <c r="D86" s="91">
        <v>0</v>
      </c>
      <c r="E86" s="38" t="e">
        <f t="shared" si="3"/>
        <v>#DIV/0!</v>
      </c>
      <c r="F86" s="38">
        <f t="shared" si="4"/>
        <v>0</v>
      </c>
    </row>
    <row r="87" spans="1:6" s="6" customFormat="1" ht="15" customHeight="1" x14ac:dyDescent="0.25">
      <c r="A87" s="52">
        <v>1000</v>
      </c>
      <c r="B87" s="31" t="s">
        <v>84</v>
      </c>
      <c r="C87" s="22">
        <f>SUM(C88:C91)</f>
        <v>0</v>
      </c>
      <c r="D87" s="22">
        <f>SUM(D88:D91)</f>
        <v>0</v>
      </c>
      <c r="E87" s="34" t="e">
        <f t="shared" si="3"/>
        <v>#DIV/0!</v>
      </c>
      <c r="F87" s="34">
        <f t="shared" si="4"/>
        <v>0</v>
      </c>
    </row>
    <row r="88" spans="1:6" hidden="1" x14ac:dyDescent="0.25">
      <c r="A88" s="53">
        <v>1001</v>
      </c>
      <c r="B88" s="54" t="s">
        <v>85</v>
      </c>
      <c r="C88" s="91"/>
      <c r="D88" s="91"/>
      <c r="E88" s="34" t="e">
        <f t="shared" si="3"/>
        <v>#DIV/0!</v>
      </c>
      <c r="F88" s="38">
        <f t="shared" si="4"/>
        <v>0</v>
      </c>
    </row>
    <row r="89" spans="1:6" hidden="1" x14ac:dyDescent="0.25">
      <c r="A89" s="53">
        <v>1003</v>
      </c>
      <c r="B89" s="54" t="s">
        <v>86</v>
      </c>
      <c r="C89" s="91">
        <v>0</v>
      </c>
      <c r="D89" s="91">
        <v>0</v>
      </c>
      <c r="E89" s="34" t="e">
        <f t="shared" si="3"/>
        <v>#DIV/0!</v>
      </c>
      <c r="F89" s="38">
        <f t="shared" si="4"/>
        <v>0</v>
      </c>
    </row>
    <row r="90" spans="1:6" hidden="1" x14ac:dyDescent="0.25">
      <c r="A90" s="53">
        <v>1004</v>
      </c>
      <c r="B90" s="54" t="s">
        <v>87</v>
      </c>
      <c r="C90" s="91"/>
      <c r="D90" s="183"/>
      <c r="E90" s="34" t="e">
        <f t="shared" si="3"/>
        <v>#DIV/0!</v>
      </c>
      <c r="F90" s="38">
        <f t="shared" si="4"/>
        <v>0</v>
      </c>
    </row>
    <row r="91" spans="1:6" ht="0.75" customHeight="1" x14ac:dyDescent="0.25">
      <c r="A91" s="35" t="s">
        <v>88</v>
      </c>
      <c r="B91" s="39" t="s">
        <v>89</v>
      </c>
      <c r="C91" s="91">
        <v>0</v>
      </c>
      <c r="D91" s="91">
        <v>0</v>
      </c>
      <c r="E91" s="38" t="e">
        <f t="shared" si="3"/>
        <v>#DIV/0!</v>
      </c>
      <c r="F91" s="38">
        <f t="shared" si="4"/>
        <v>0</v>
      </c>
    </row>
    <row r="92" spans="1:6" ht="15" customHeight="1" x14ac:dyDescent="0.25">
      <c r="A92" s="30" t="s">
        <v>90</v>
      </c>
      <c r="B92" s="31" t="s">
        <v>91</v>
      </c>
      <c r="C92" s="22">
        <f>C93+C94+C95+C96+C97</f>
        <v>0</v>
      </c>
      <c r="D92" s="22">
        <f>D93+D94+D95+D96+D97</f>
        <v>0</v>
      </c>
      <c r="E92" s="34" t="e">
        <f t="shared" si="3"/>
        <v>#DIV/0!</v>
      </c>
      <c r="F92" s="22">
        <f>F93+F94+F95+F96+F97</f>
        <v>0</v>
      </c>
    </row>
    <row r="93" spans="1:6" ht="15.75" customHeight="1" x14ac:dyDescent="0.25">
      <c r="A93" s="35" t="s">
        <v>92</v>
      </c>
      <c r="B93" s="39" t="s">
        <v>93</v>
      </c>
      <c r="C93" s="91">
        <v>0</v>
      </c>
      <c r="D93" s="91">
        <v>0</v>
      </c>
      <c r="E93" s="38" t="e">
        <f t="shared" si="3"/>
        <v>#DIV/0!</v>
      </c>
      <c r="F93" s="38">
        <f>SUM(D93-C93)</f>
        <v>0</v>
      </c>
    </row>
    <row r="94" spans="1:6" ht="15" hidden="1" customHeight="1" x14ac:dyDescent="0.25">
      <c r="A94" s="35" t="s">
        <v>94</v>
      </c>
      <c r="B94" s="39" t="s">
        <v>95</v>
      </c>
      <c r="C94" s="130"/>
      <c r="D94" s="91"/>
      <c r="E94" s="38" t="e">
        <f t="shared" si="3"/>
        <v>#DIV/0!</v>
      </c>
      <c r="F94" s="38">
        <f>SUM(D94-C94)</f>
        <v>0</v>
      </c>
    </row>
    <row r="95" spans="1:6" ht="15" hidden="1" customHeight="1" x14ac:dyDescent="0.25">
      <c r="A95" s="35" t="s">
        <v>96</v>
      </c>
      <c r="B95" s="39" t="s">
        <v>97</v>
      </c>
      <c r="C95" s="130"/>
      <c r="D95" s="91"/>
      <c r="E95" s="38" t="e">
        <f t="shared" si="3"/>
        <v>#DIV/0!</v>
      </c>
      <c r="F95" s="38"/>
    </row>
    <row r="96" spans="1:6" ht="15" hidden="1" customHeight="1" x14ac:dyDescent="0.25">
      <c r="A96" s="35" t="s">
        <v>98</v>
      </c>
      <c r="B96" s="39" t="s">
        <v>99</v>
      </c>
      <c r="C96" s="130"/>
      <c r="D96" s="91"/>
      <c r="E96" s="38" t="e">
        <f t="shared" si="3"/>
        <v>#DIV/0!</v>
      </c>
      <c r="F96" s="38"/>
    </row>
    <row r="97" spans="1:7" ht="57.75" hidden="1" customHeight="1" x14ac:dyDescent="0.25">
      <c r="A97" s="35" t="s">
        <v>100</v>
      </c>
      <c r="B97" s="39" t="s">
        <v>101</v>
      </c>
      <c r="C97" s="171"/>
      <c r="D97" s="91"/>
      <c r="E97" s="38" t="e">
        <f t="shared" si="3"/>
        <v>#DIV/0!</v>
      </c>
      <c r="F97" s="38"/>
    </row>
    <row r="98" spans="1:7" s="6" customFormat="1" ht="18" hidden="1" customHeight="1" x14ac:dyDescent="0.25">
      <c r="A98" s="52">
        <v>1400</v>
      </c>
      <c r="B98" s="56" t="s">
        <v>109</v>
      </c>
      <c r="C98" s="48"/>
      <c r="D98" s="103"/>
      <c r="E98" s="34" t="e">
        <f t="shared" si="3"/>
        <v>#DIV/0!</v>
      </c>
      <c r="F98" s="34">
        <f t="shared" si="4"/>
        <v>0</v>
      </c>
    </row>
    <row r="99" spans="1:7" ht="16.5" hidden="1" customHeight="1" x14ac:dyDescent="0.25">
      <c r="A99" s="53">
        <v>1401</v>
      </c>
      <c r="B99" s="54" t="s">
        <v>110</v>
      </c>
      <c r="C99" s="104">
        <v>0</v>
      </c>
      <c r="D99" s="91">
        <v>0</v>
      </c>
      <c r="E99" s="38" t="e">
        <f t="shared" si="3"/>
        <v>#DIV/0!</v>
      </c>
      <c r="F99" s="38">
        <f t="shared" si="4"/>
        <v>0</v>
      </c>
    </row>
    <row r="100" spans="1:7" ht="20.25" hidden="1" customHeight="1" x14ac:dyDescent="0.25">
      <c r="A100" s="53">
        <v>1402</v>
      </c>
      <c r="B100" s="54" t="s">
        <v>111</v>
      </c>
      <c r="C100" s="104">
        <v>0</v>
      </c>
      <c r="D100" s="91">
        <v>0</v>
      </c>
      <c r="E100" s="38" t="e">
        <f t="shared" si="3"/>
        <v>#DIV/0!</v>
      </c>
      <c r="F100" s="38">
        <f t="shared" si="4"/>
        <v>0</v>
      </c>
    </row>
    <row r="101" spans="1:7" ht="13.5" hidden="1" customHeight="1" x14ac:dyDescent="0.25">
      <c r="A101" s="53">
        <v>1403</v>
      </c>
      <c r="B101" s="54" t="s">
        <v>112</v>
      </c>
      <c r="C101" s="104">
        <v>0</v>
      </c>
      <c r="D101" s="91">
        <v>0</v>
      </c>
      <c r="E101" s="38" t="e">
        <f t="shared" si="3"/>
        <v>#DIV/0!</v>
      </c>
      <c r="F101" s="38">
        <f t="shared" si="4"/>
        <v>0</v>
      </c>
    </row>
    <row r="102" spans="1:7" s="6" customFormat="1" ht="15" customHeight="1" x14ac:dyDescent="0.25">
      <c r="A102" s="52"/>
      <c r="B102" s="57" t="s">
        <v>113</v>
      </c>
      <c r="C102" s="386">
        <f>C58+C66+C68+C74+C79+C84+C92+C87+C98</f>
        <v>60977.588550000008</v>
      </c>
      <c r="D102" s="386">
        <f>D58+D66+D68+D74+D79+D84+D92+D87+D98</f>
        <v>37072.41648</v>
      </c>
      <c r="E102" s="34">
        <f t="shared" si="3"/>
        <v>60.796790036394434</v>
      </c>
      <c r="F102" s="34">
        <f t="shared" si="4"/>
        <v>-23905.172070000008</v>
      </c>
      <c r="G102" s="93"/>
    </row>
    <row r="103" spans="1:7" ht="5.25" customHeight="1" x14ac:dyDescent="0.25">
      <c r="D103" s="61"/>
    </row>
    <row r="104" spans="1:7" s="65" customFormat="1" ht="12.75" x14ac:dyDescent="0.2">
      <c r="A104" s="63" t="s">
        <v>114</v>
      </c>
      <c r="B104" s="63"/>
      <c r="C104" s="131"/>
      <c r="D104" s="64"/>
    </row>
    <row r="105" spans="1:7" s="65" customFormat="1" ht="12.75" x14ac:dyDescent="0.2">
      <c r="A105" s="66" t="s">
        <v>115</v>
      </c>
      <c r="B105" s="66"/>
      <c r="C105" s="131" t="s">
        <v>116</v>
      </c>
    </row>
    <row r="143" hidden="1" x14ac:dyDescent="0.25"/>
  </sheetData>
  <customSheetViews>
    <customSheetView guid="{4D5E6ACC-9055-4DE9-8C20-9052F3C35D19}" scale="70" showPageBreaks="1" printArea="1" hiddenRows="1" state="hidden" view="pageBreakPreview" topLeftCell="A18">
      <selection activeCell="C93" sqref="C93"/>
      <pageMargins left="0.74803149606299213" right="0.74803149606299213" top="0.98425196850393704" bottom="0.98425196850393704" header="0.51181102362204722" footer="0.51181102362204722"/>
      <pageSetup paperSize="9" scale="49" orientation="portrait" r:id="rId1"/>
      <headerFooter alignWithMargins="0"/>
    </customSheetView>
    <customSheetView guid="{5C539BE6-C8E0-453F-AB5E-9E58094195EA}" scale="70" showPageBreaks="1" printArea="1" hiddenRows="1" view="pageBreakPreview">
      <selection activeCell="D74" sqref="D74"/>
      <pageMargins left="0.74803149606299213" right="0.74803149606299213" top="0.98425196850393704" bottom="0.98425196850393704" header="0.51181102362204722" footer="0.51181102362204722"/>
      <pageSetup paperSize="9" scale="50" orientation="portrait" r:id="rId2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3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4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5"/>
      <headerFooter alignWithMargins="0"/>
    </customSheetView>
    <customSheetView guid="{B31C8DB7-3E78-4144-A6B5-8DE36DE63F0E}" hiddenRows="1" topLeftCell="A27">
      <selection activeCell="D31" sqref="D31"/>
      <pageMargins left="0.75" right="0.75" top="1" bottom="1" header="0.5" footer="0.5"/>
      <pageSetup paperSize="9" scale="56" orientation="portrait" r:id="rId6"/>
      <headerFooter alignWithMargins="0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7"/>
      <headerFooter alignWithMargins="0"/>
    </customSheetView>
    <customSheetView guid="{B30CE22D-C12F-4E12-8BB9-3AAE0A6991CC}" scale="70" showPageBreaks="1" fitToPage="1" printArea="1" hiddenRows="1" view="pageBreakPreview">
      <selection activeCell="D56" sqref="D56"/>
      <pageMargins left="0.74803149606299213" right="0.74803149606299213" top="0.98425196850393704" bottom="0.98425196850393704" header="0.51181102362204722" footer="0.51181102362204722"/>
      <pageSetup paperSize="9" scale="54" orientation="portrait" r:id="rId8"/>
      <headerFooter alignWithMargins="0"/>
    </customSheetView>
    <customSheetView guid="{1718F1EE-9F48-4DBE-9531-3B70F9C4A5DD}" scale="70" showPageBreaks="1" hiddenRows="1" view="pageBreakPreview" topLeftCell="A40">
      <selection activeCell="C93" sqref="C93"/>
      <pageMargins left="0.75" right="0.75" top="1" bottom="1" header="0.5" footer="0.5"/>
      <pageSetup paperSize="9" scale="36" orientation="portrait" r:id="rId9"/>
      <headerFooter alignWithMargins="0"/>
    </customSheetView>
    <customSheetView guid="{3DCB9AAA-F09C-4EA6-B992-F93E466D374A}" hiddenRows="1" topLeftCell="A53">
      <selection activeCell="B100" sqref="B100"/>
      <pageMargins left="0.75" right="0.75" top="1" bottom="1" header="0.5" footer="0.5"/>
      <pageSetup paperSize="9" scale="46" orientation="portrait" r:id="rId10"/>
      <headerFooter alignWithMargins="0"/>
    </customSheetView>
    <customSheetView guid="{F85EE840-0C31-454A-8951-832C2E9E0600}" scale="70" showPageBreaks="1" printArea="1" hiddenRows="1" state="hidden" view="pageBreakPreview" topLeftCell="A31">
      <selection activeCell="D47" sqref="D47"/>
      <pageMargins left="0.74803149606299213" right="0.74803149606299213" top="0.98425196850393704" bottom="0.98425196850393704" header="0.51181102362204722" footer="0.51181102362204722"/>
      <pageSetup paperSize="9" scale="50" orientation="portrait" r:id="rId11"/>
      <headerFooter alignWithMargins="0"/>
    </customSheetView>
    <customSheetView guid="{F1E84C44-1ACD-474A-BDE0-C7088DB6C590}" scale="70" showPageBreaks="1" printArea="1" hiddenRows="1" state="hidden" view="pageBreakPreview" topLeftCell="A18">
      <selection activeCell="C93" sqref="C93"/>
      <pageMargins left="0.74803149606299213" right="0.74803149606299213" top="0.98425196850393704" bottom="0.98425196850393704" header="0.51181102362204722" footer="0.51181102362204722"/>
      <pageSetup paperSize="9" scale="49" orientation="portrait" r:id="rId12"/>
      <headerFooter alignWithMargins="0"/>
    </customSheetView>
    <customSheetView guid="{61528DAC-5C4C-48F4-ADE2-8A724B05A086}" scale="70" showPageBreaks="1" printArea="1" hiddenRows="1" state="hidden" view="pageBreakPreview" topLeftCell="A18">
      <selection activeCell="C93" sqref="C93"/>
      <pageMargins left="0.74803149606299213" right="0.74803149606299213" top="0.98425196850393704" bottom="0.98425196850393704" header="0.51181102362204722" footer="0.51181102362204722"/>
      <pageSetup paperSize="9" scale="49" orientation="portrait" r:id="rId13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H142"/>
  <sheetViews>
    <sheetView view="pageBreakPreview" topLeftCell="A4" zoomScale="70" zoomScaleNormal="100" zoomScaleSheetLayoutView="70" workbookViewId="0">
      <selection activeCell="D29" sqref="D29"/>
    </sheetView>
  </sheetViews>
  <sheetFormatPr defaultRowHeight="15.75" x14ac:dyDescent="0.25"/>
  <cols>
    <col min="1" max="1" width="15.14062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 x14ac:dyDescent="0.25">
      <c r="A1" s="599" t="s">
        <v>423</v>
      </c>
      <c r="B1" s="599"/>
      <c r="C1" s="599"/>
      <c r="D1" s="599"/>
      <c r="E1" s="599"/>
      <c r="F1" s="599"/>
    </row>
    <row r="2" spans="1:6" x14ac:dyDescent="0.25">
      <c r="A2" s="599"/>
      <c r="B2" s="599"/>
      <c r="C2" s="599"/>
      <c r="D2" s="599"/>
      <c r="E2" s="599"/>
      <c r="F2" s="599"/>
    </row>
    <row r="3" spans="1:6" ht="63" x14ac:dyDescent="0.25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 x14ac:dyDescent="0.25">
      <c r="A4" s="3"/>
      <c r="B4" s="4" t="s">
        <v>4</v>
      </c>
      <c r="C4" s="5">
        <f>C5+C12+C14+C17+C7</f>
        <v>2207.9699999999998</v>
      </c>
      <c r="D4" s="5">
        <f>D5+D12+D14+D17+D7</f>
        <v>2285.5608700000003</v>
      </c>
      <c r="E4" s="5">
        <f>SUM(D4/C4*100)</f>
        <v>103.51412700353721</v>
      </c>
      <c r="F4" s="5">
        <f>SUM(D4-C4)</f>
        <v>77.59087000000045</v>
      </c>
    </row>
    <row r="5" spans="1:6" s="6" customFormat="1" x14ac:dyDescent="0.25">
      <c r="A5" s="68">
        <v>1010000000</v>
      </c>
      <c r="B5" s="67" t="s">
        <v>5</v>
      </c>
      <c r="C5" s="5">
        <f>C6</f>
        <v>120</v>
      </c>
      <c r="D5" s="5">
        <f>D6</f>
        <v>65.119870000000006</v>
      </c>
      <c r="E5" s="5">
        <f t="shared" ref="E5:E51" si="0">SUM(D5/C5*100)</f>
        <v>54.266558333333336</v>
      </c>
      <c r="F5" s="5">
        <f t="shared" ref="F5:F51" si="1">SUM(D5-C5)</f>
        <v>-54.880129999999994</v>
      </c>
    </row>
    <row r="6" spans="1:6" x14ac:dyDescent="0.25">
      <c r="A6" s="7">
        <v>1010200001</v>
      </c>
      <c r="B6" s="8" t="s">
        <v>220</v>
      </c>
      <c r="C6" s="9">
        <v>120</v>
      </c>
      <c r="D6" s="10">
        <v>65.119870000000006</v>
      </c>
      <c r="E6" s="9">
        <f t="shared" ref="E6:E11" si="2">SUM(D6/C6*100)</f>
        <v>54.266558333333336</v>
      </c>
      <c r="F6" s="9">
        <f t="shared" si="1"/>
        <v>-54.880129999999994</v>
      </c>
    </row>
    <row r="7" spans="1:6" ht="31.5" x14ac:dyDescent="0.25">
      <c r="A7" s="3">
        <v>1030000000</v>
      </c>
      <c r="B7" s="13" t="s">
        <v>259</v>
      </c>
      <c r="C7" s="5">
        <f>C8+C10+C9</f>
        <v>777.96999999999991</v>
      </c>
      <c r="D7" s="5">
        <f>D8+D10+D9+D11</f>
        <v>919.75250999999992</v>
      </c>
      <c r="E7" s="9">
        <f t="shared" si="2"/>
        <v>118.22467575870535</v>
      </c>
      <c r="F7" s="9">
        <f t="shared" si="1"/>
        <v>141.78251</v>
      </c>
    </row>
    <row r="8" spans="1:6" x14ac:dyDescent="0.25">
      <c r="A8" s="7">
        <v>1030223001</v>
      </c>
      <c r="B8" s="8" t="s">
        <v>261</v>
      </c>
      <c r="C8" s="9">
        <v>290.18299999999999</v>
      </c>
      <c r="D8" s="10">
        <v>461.07841000000002</v>
      </c>
      <c r="E8" s="9">
        <f t="shared" si="2"/>
        <v>158.89228865922541</v>
      </c>
      <c r="F8" s="9">
        <f t="shared" si="1"/>
        <v>170.89541000000003</v>
      </c>
    </row>
    <row r="9" spans="1:6" x14ac:dyDescent="0.25">
      <c r="A9" s="7">
        <v>1030224001</v>
      </c>
      <c r="B9" s="8" t="s">
        <v>267</v>
      </c>
      <c r="C9" s="9">
        <v>3.1120000000000001</v>
      </c>
      <c r="D9" s="10">
        <v>2.4905499999999998</v>
      </c>
      <c r="E9" s="9">
        <f t="shared" si="2"/>
        <v>80.030526992287903</v>
      </c>
      <c r="F9" s="9">
        <f t="shared" si="1"/>
        <v>-0.62145000000000028</v>
      </c>
    </row>
    <row r="10" spans="1:6" x14ac:dyDescent="0.25">
      <c r="A10" s="7">
        <v>1030225001</v>
      </c>
      <c r="B10" s="8" t="s">
        <v>260</v>
      </c>
      <c r="C10" s="9">
        <v>484.67500000000001</v>
      </c>
      <c r="D10" s="10">
        <v>509.08262999999999</v>
      </c>
      <c r="E10" s="9">
        <f t="shared" si="2"/>
        <v>105.03587558673337</v>
      </c>
      <c r="F10" s="9">
        <f t="shared" si="1"/>
        <v>24.407629999999983</v>
      </c>
    </row>
    <row r="11" spans="1:6" x14ac:dyDescent="0.25">
      <c r="A11" s="7">
        <v>1030226001</v>
      </c>
      <c r="B11" s="8" t="s">
        <v>269</v>
      </c>
      <c r="C11" s="9">
        <v>0</v>
      </c>
      <c r="D11" s="10">
        <v>-52.899079999999998</v>
      </c>
      <c r="E11" s="9" t="e">
        <f t="shared" si="2"/>
        <v>#DIV/0!</v>
      </c>
      <c r="F11" s="9">
        <f t="shared" si="1"/>
        <v>-52.899079999999998</v>
      </c>
    </row>
    <row r="12" spans="1:6" s="6" customFormat="1" x14ac:dyDescent="0.25">
      <c r="A12" s="68">
        <v>1050000000</v>
      </c>
      <c r="B12" s="67" t="s">
        <v>6</v>
      </c>
      <c r="C12" s="5">
        <f>SUM(C13:C13)</f>
        <v>10</v>
      </c>
      <c r="D12" s="5">
        <f>SUM(D13:D13)</f>
        <v>2.7930000000000001</v>
      </c>
      <c r="E12" s="5">
        <f t="shared" si="0"/>
        <v>27.93</v>
      </c>
      <c r="F12" s="5">
        <f t="shared" si="1"/>
        <v>-7.2069999999999999</v>
      </c>
    </row>
    <row r="13" spans="1:6" ht="15.75" customHeight="1" x14ac:dyDescent="0.25">
      <c r="A13" s="7">
        <v>1050300000</v>
      </c>
      <c r="B13" s="11" t="s">
        <v>221</v>
      </c>
      <c r="C13" s="12">
        <v>10</v>
      </c>
      <c r="D13" s="10">
        <v>2.7930000000000001</v>
      </c>
      <c r="E13" s="9">
        <f t="shared" si="0"/>
        <v>27.93</v>
      </c>
      <c r="F13" s="9">
        <f t="shared" si="1"/>
        <v>-7.2069999999999999</v>
      </c>
    </row>
    <row r="14" spans="1:6" s="6" customFormat="1" ht="15.75" customHeight="1" x14ac:dyDescent="0.25">
      <c r="A14" s="68">
        <v>1060000000</v>
      </c>
      <c r="B14" s="67" t="s">
        <v>129</v>
      </c>
      <c r="C14" s="5">
        <f>C15+C16</f>
        <v>1296</v>
      </c>
      <c r="D14" s="5">
        <f>D15+D16</f>
        <v>1294.8454900000002</v>
      </c>
      <c r="E14" s="5">
        <f t="shared" si="0"/>
        <v>99.910917438271625</v>
      </c>
      <c r="F14" s="5">
        <f t="shared" si="1"/>
        <v>-1.1545099999998456</v>
      </c>
    </row>
    <row r="15" spans="1:6" s="6" customFormat="1" ht="15.75" customHeight="1" x14ac:dyDescent="0.25">
      <c r="A15" s="7">
        <v>1060100000</v>
      </c>
      <c r="B15" s="11" t="s">
        <v>8</v>
      </c>
      <c r="C15" s="9">
        <v>406</v>
      </c>
      <c r="D15" s="10">
        <v>463.41651000000002</v>
      </c>
      <c r="E15" s="9">
        <f t="shared" si="0"/>
        <v>114.14199753694582</v>
      </c>
      <c r="F15" s="9">
        <f>SUM(D15-C15)</f>
        <v>57.416510000000017</v>
      </c>
    </row>
    <row r="16" spans="1:6" ht="15.75" customHeight="1" x14ac:dyDescent="0.25">
      <c r="A16" s="7">
        <v>1060600000</v>
      </c>
      <c r="B16" s="11" t="s">
        <v>7</v>
      </c>
      <c r="C16" s="9">
        <v>890</v>
      </c>
      <c r="D16" s="10">
        <v>831.42898000000002</v>
      </c>
      <c r="E16" s="9">
        <f t="shared" si="0"/>
        <v>93.418986516853934</v>
      </c>
      <c r="F16" s="9">
        <f t="shared" si="1"/>
        <v>-58.571019999999976</v>
      </c>
    </row>
    <row r="17" spans="1:6" s="6" customFormat="1" x14ac:dyDescent="0.25">
      <c r="A17" s="3">
        <v>1080000000</v>
      </c>
      <c r="B17" s="4" t="s">
        <v>10</v>
      </c>
      <c r="C17" s="5">
        <f>C18</f>
        <v>4</v>
      </c>
      <c r="D17" s="5">
        <f>D18</f>
        <v>3.05</v>
      </c>
      <c r="E17" s="5">
        <f t="shared" si="0"/>
        <v>76.25</v>
      </c>
      <c r="F17" s="5">
        <f t="shared" si="1"/>
        <v>-0.95000000000000018</v>
      </c>
    </row>
    <row r="18" spans="1:6" ht="21.75" customHeight="1" x14ac:dyDescent="0.25">
      <c r="A18" s="7">
        <v>1080400001</v>
      </c>
      <c r="B18" s="8" t="s">
        <v>219</v>
      </c>
      <c r="C18" s="9">
        <v>4</v>
      </c>
      <c r="D18" s="10">
        <v>3.05</v>
      </c>
      <c r="E18" s="9">
        <f t="shared" si="0"/>
        <v>76.25</v>
      </c>
      <c r="F18" s="9">
        <f t="shared" si="1"/>
        <v>-0.95000000000000018</v>
      </c>
    </row>
    <row r="19" spans="1:6" ht="0.75" hidden="1" customHeight="1" x14ac:dyDescent="0.25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 x14ac:dyDescent="0.25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 x14ac:dyDescent="0.25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 x14ac:dyDescent="0.25">
      <c r="A22" s="7">
        <v>1090400000</v>
      </c>
      <c r="B22" s="8" t="s">
        <v>119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 x14ac:dyDescent="0.25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customHeight="1" x14ac:dyDescent="0.25">
      <c r="A24" s="7">
        <v>1090700000</v>
      </c>
      <c r="B24" s="8" t="s">
        <v>121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 x14ac:dyDescent="0.25">
      <c r="A25" s="3"/>
      <c r="B25" s="4" t="s">
        <v>12</v>
      </c>
      <c r="C25" s="5">
        <f>C26+C30+C33+C39+C36</f>
        <v>1419.11814</v>
      </c>
      <c r="D25" s="5">
        <f>D26+D30+D33+D39+D36</f>
        <v>1274.4343799999999</v>
      </c>
      <c r="E25" s="5">
        <f t="shared" si="0"/>
        <v>89.804671230543207</v>
      </c>
      <c r="F25" s="5">
        <f t="shared" si="1"/>
        <v>-144.68376000000012</v>
      </c>
    </row>
    <row r="26" spans="1:6" s="6" customFormat="1" ht="30" customHeight="1" x14ac:dyDescent="0.25">
      <c r="A26" s="68">
        <v>1110000000</v>
      </c>
      <c r="B26" s="69" t="s">
        <v>122</v>
      </c>
      <c r="C26" s="5">
        <f>C27+C28+C29</f>
        <v>270</v>
      </c>
      <c r="D26" s="5">
        <f>D27+D28+D29</f>
        <v>330.41820999999999</v>
      </c>
      <c r="E26" s="5">
        <f t="shared" si="0"/>
        <v>122.37711481481482</v>
      </c>
      <c r="F26" s="5">
        <f t="shared" si="1"/>
        <v>60.418209999999988</v>
      </c>
    </row>
    <row r="27" spans="1:6" x14ac:dyDescent="0.25">
      <c r="A27" s="16">
        <v>1110501101</v>
      </c>
      <c r="B27" s="17" t="s">
        <v>217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 x14ac:dyDescent="0.25">
      <c r="A28" s="16">
        <v>1110502510</v>
      </c>
      <c r="B28" s="18" t="s">
        <v>278</v>
      </c>
      <c r="C28" s="12">
        <v>250</v>
      </c>
      <c r="D28" s="10">
        <v>284.21055999999999</v>
      </c>
      <c r="E28" s="9">
        <f t="shared" si="0"/>
        <v>113.684224</v>
      </c>
      <c r="F28" s="9">
        <f t="shared" si="1"/>
        <v>34.210559999999987</v>
      </c>
    </row>
    <row r="29" spans="1:6" ht="18" customHeight="1" x14ac:dyDescent="0.25">
      <c r="A29" s="7">
        <v>1110503505</v>
      </c>
      <c r="B29" s="11" t="s">
        <v>216</v>
      </c>
      <c r="C29" s="12">
        <v>20</v>
      </c>
      <c r="D29" s="10">
        <v>46.207650000000001</v>
      </c>
      <c r="E29" s="9">
        <f t="shared" si="0"/>
        <v>231.03825000000003</v>
      </c>
      <c r="F29" s="9">
        <f t="shared" si="1"/>
        <v>26.207650000000001</v>
      </c>
    </row>
    <row r="30" spans="1:6" s="15" customFormat="1" ht="15.75" customHeight="1" x14ac:dyDescent="0.25">
      <c r="A30" s="68">
        <v>1130000000</v>
      </c>
      <c r="B30" s="69" t="s">
        <v>124</v>
      </c>
      <c r="C30" s="5">
        <f>C31</f>
        <v>30</v>
      </c>
      <c r="D30" s="5">
        <f>D31+D32</f>
        <v>85.460000000000008</v>
      </c>
      <c r="E30" s="5">
        <f t="shared" si="0"/>
        <v>284.86666666666667</v>
      </c>
      <c r="F30" s="5">
        <f t="shared" si="1"/>
        <v>55.460000000000008</v>
      </c>
    </row>
    <row r="31" spans="1:6" ht="15" customHeight="1" x14ac:dyDescent="0.25">
      <c r="A31" s="7">
        <v>1130206510</v>
      </c>
      <c r="B31" s="8" t="s">
        <v>395</v>
      </c>
      <c r="C31" s="9">
        <v>30</v>
      </c>
      <c r="D31" s="10">
        <v>81.84</v>
      </c>
      <c r="E31" s="9">
        <f t="shared" si="0"/>
        <v>272.8</v>
      </c>
      <c r="F31" s="9">
        <f t="shared" si="1"/>
        <v>51.84</v>
      </c>
    </row>
    <row r="32" spans="1:6" ht="14.25" customHeight="1" x14ac:dyDescent="0.25">
      <c r="A32" s="7">
        <v>1130299000</v>
      </c>
      <c r="B32" s="8" t="s">
        <v>307</v>
      </c>
      <c r="C32" s="9">
        <v>0</v>
      </c>
      <c r="D32" s="10">
        <v>3.62</v>
      </c>
      <c r="E32" s="9" t="e">
        <f t="shared" si="0"/>
        <v>#DIV/0!</v>
      </c>
      <c r="F32" s="9">
        <f t="shared" si="1"/>
        <v>3.62</v>
      </c>
    </row>
    <row r="33" spans="1:7" ht="14.25" customHeight="1" x14ac:dyDescent="0.25">
      <c r="A33" s="70">
        <v>1140000000</v>
      </c>
      <c r="B33" s="71" t="s">
        <v>125</v>
      </c>
      <c r="C33" s="5">
        <f>C35</f>
        <v>0</v>
      </c>
      <c r="D33" s="5">
        <f>D34+D35</f>
        <v>0</v>
      </c>
      <c r="E33" s="5" t="e">
        <f t="shared" si="0"/>
        <v>#DIV/0!</v>
      </c>
      <c r="F33" s="5">
        <f t="shared" si="1"/>
        <v>0</v>
      </c>
    </row>
    <row r="34" spans="1:7" ht="12.75" customHeight="1" x14ac:dyDescent="0.25">
      <c r="A34" s="16">
        <v>1140200000</v>
      </c>
      <c r="B34" s="18" t="s">
        <v>126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4.25" hidden="1" customHeight="1" x14ac:dyDescent="0.25">
      <c r="A35" s="7">
        <v>1140600000</v>
      </c>
      <c r="B35" s="8" t="s">
        <v>214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7.25" customHeight="1" x14ac:dyDescent="0.25">
      <c r="A36" s="3">
        <v>1160000000</v>
      </c>
      <c r="B36" s="13" t="s">
        <v>236</v>
      </c>
      <c r="C36" s="5">
        <f>C38+C37</f>
        <v>82.901759999999996</v>
      </c>
      <c r="D36" s="5">
        <f>D38+D37</f>
        <v>85.202449999999999</v>
      </c>
      <c r="E36" s="5">
        <f t="shared" si="0"/>
        <v>102.77520043000294</v>
      </c>
      <c r="F36" s="5">
        <f t="shared" si="1"/>
        <v>2.300690000000003</v>
      </c>
    </row>
    <row r="37" spans="1:7" ht="15" customHeight="1" x14ac:dyDescent="0.25">
      <c r="A37" s="7">
        <v>1160701000</v>
      </c>
      <c r="B37" s="8" t="s">
        <v>404</v>
      </c>
      <c r="C37" s="9">
        <v>82.901759999999996</v>
      </c>
      <c r="D37" s="9">
        <v>85.202449999999999</v>
      </c>
      <c r="E37" s="9">
        <f>SUM(D37/C37*100)</f>
        <v>102.77520043000294</v>
      </c>
      <c r="F37" s="9">
        <f>SUM(D37-C37)</f>
        <v>2.300690000000003</v>
      </c>
    </row>
    <row r="38" spans="1:7" ht="17.25" hidden="1" customHeight="1" x14ac:dyDescent="0.25">
      <c r="A38" s="7">
        <v>1169005010</v>
      </c>
      <c r="B38" s="8" t="s">
        <v>301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ht="15.75" customHeight="1" x14ac:dyDescent="0.25">
      <c r="A39" s="3">
        <v>1170000000</v>
      </c>
      <c r="B39" s="13" t="s">
        <v>128</v>
      </c>
      <c r="C39" s="5">
        <f>SUM(C40)</f>
        <v>1036.2163800000001</v>
      </c>
      <c r="D39" s="5">
        <f>SUM(D40)</f>
        <v>773.35371999999995</v>
      </c>
      <c r="E39" s="9">
        <f t="shared" si="0"/>
        <v>74.632454661641219</v>
      </c>
      <c r="F39" s="5">
        <f t="shared" si="1"/>
        <v>-262.86266000000012</v>
      </c>
    </row>
    <row r="40" spans="1:7" ht="31.5" x14ac:dyDescent="0.25">
      <c r="A40" s="7">
        <v>1171503010</v>
      </c>
      <c r="B40" s="8" t="s">
        <v>405</v>
      </c>
      <c r="C40" s="9">
        <v>1036.2163800000001</v>
      </c>
      <c r="D40" s="9">
        <v>773.35371999999995</v>
      </c>
      <c r="E40" s="9">
        <f t="shared" si="0"/>
        <v>74.632454661641219</v>
      </c>
      <c r="F40" s="9">
        <f t="shared" si="1"/>
        <v>-262.86266000000012</v>
      </c>
    </row>
    <row r="41" spans="1:7" s="6" customFormat="1" ht="15" customHeight="1" x14ac:dyDescent="0.25">
      <c r="A41" s="3">
        <v>1000000000</v>
      </c>
      <c r="B41" s="4" t="s">
        <v>16</v>
      </c>
      <c r="C41" s="125">
        <f>SUM(C4,C25)</f>
        <v>3627.0881399999998</v>
      </c>
      <c r="D41" s="125">
        <f>D4+D25</f>
        <v>3559.9952499999999</v>
      </c>
      <c r="E41" s="5">
        <f t="shared" si="0"/>
        <v>98.150227195747163</v>
      </c>
      <c r="F41" s="5">
        <f t="shared" si="1"/>
        <v>-67.092889999999898</v>
      </c>
    </row>
    <row r="42" spans="1:7" s="6" customFormat="1" x14ac:dyDescent="0.25">
      <c r="A42" s="3">
        <v>2000000000</v>
      </c>
      <c r="B42" s="4" t="s">
        <v>17</v>
      </c>
      <c r="C42" s="224">
        <f>C43+C45+C47+C48+C49+C50+C44+C46</f>
        <v>15010.93842</v>
      </c>
      <c r="D42" s="247">
        <f>D43+D45+D47+D48+D49+D50+D44+D46</f>
        <v>13718.994060000001</v>
      </c>
      <c r="E42" s="5">
        <f t="shared" si="0"/>
        <v>91.393313836537615</v>
      </c>
      <c r="F42" s="5">
        <f t="shared" si="1"/>
        <v>-1291.9443599999995</v>
      </c>
      <c r="G42" s="19"/>
    </row>
    <row r="43" spans="1:7" x14ac:dyDescent="0.25">
      <c r="A43" s="16">
        <v>2021000000</v>
      </c>
      <c r="B43" s="17" t="s">
        <v>18</v>
      </c>
      <c r="C43" s="375">
        <v>2693</v>
      </c>
      <c r="D43" s="20">
        <v>2693</v>
      </c>
      <c r="E43" s="9">
        <f t="shared" si="0"/>
        <v>100</v>
      </c>
      <c r="F43" s="9">
        <f t="shared" si="1"/>
        <v>0</v>
      </c>
    </row>
    <row r="44" spans="1:7" hidden="1" x14ac:dyDescent="0.25">
      <c r="A44" s="16">
        <v>2021500200</v>
      </c>
      <c r="B44" s="17" t="s">
        <v>223</v>
      </c>
      <c r="C44" s="12"/>
      <c r="D44" s="20">
        <v>0</v>
      </c>
      <c r="E44" s="9" t="e">
        <f t="shared" si="0"/>
        <v>#DIV/0!</v>
      </c>
      <c r="F44" s="9">
        <f t="shared" si="1"/>
        <v>0</v>
      </c>
    </row>
    <row r="45" spans="1:7" ht="15" customHeight="1" x14ac:dyDescent="0.25">
      <c r="A45" s="16">
        <v>2022000000</v>
      </c>
      <c r="B45" s="17" t="s">
        <v>19</v>
      </c>
      <c r="C45" s="12">
        <v>10312.837320000001</v>
      </c>
      <c r="D45" s="10">
        <v>9111.3296599999994</v>
      </c>
      <c r="E45" s="9">
        <f t="shared" si="0"/>
        <v>88.349397719385323</v>
      </c>
      <c r="F45" s="9">
        <f t="shared" si="1"/>
        <v>-1201.5076600000011</v>
      </c>
    </row>
    <row r="46" spans="1:7" ht="15" hidden="1" customHeight="1" x14ac:dyDescent="0.25">
      <c r="A46" s="16">
        <v>2022999910</v>
      </c>
      <c r="B46" s="18" t="s">
        <v>322</v>
      </c>
      <c r="C46" s="12"/>
      <c r="D46" s="10">
        <v>0</v>
      </c>
      <c r="E46" s="9" t="e">
        <f>SUM(D46/C46*100)</f>
        <v>#DIV/0!</v>
      </c>
      <c r="F46" s="9">
        <f>SUM(D46-C46)</f>
        <v>0</v>
      </c>
    </row>
    <row r="47" spans="1:7" ht="15.75" customHeight="1" x14ac:dyDescent="0.25">
      <c r="A47" s="16">
        <v>2023000000</v>
      </c>
      <c r="B47" s="17" t="s">
        <v>20</v>
      </c>
      <c r="C47" s="12">
        <v>126.63952</v>
      </c>
      <c r="D47" s="180">
        <v>126.63952</v>
      </c>
      <c r="E47" s="9">
        <f>SUM(D47/C47*100)</f>
        <v>100</v>
      </c>
      <c r="F47" s="9">
        <f>SUM(D47-C47)</f>
        <v>0</v>
      </c>
    </row>
    <row r="48" spans="1:7" ht="15.75" customHeight="1" x14ac:dyDescent="0.25">
      <c r="A48" s="16">
        <v>2024000000</v>
      </c>
      <c r="B48" s="17" t="s">
        <v>21</v>
      </c>
      <c r="C48" s="12">
        <v>1878.4615799999999</v>
      </c>
      <c r="D48" s="181">
        <v>1788.0248799999999</v>
      </c>
      <c r="E48" s="9">
        <f t="shared" si="0"/>
        <v>95.185597567558446</v>
      </c>
      <c r="F48" s="9">
        <f t="shared" si="1"/>
        <v>-90.436699999999973</v>
      </c>
    </row>
    <row r="49" spans="1:8" ht="30" customHeight="1" x14ac:dyDescent="0.25">
      <c r="A49" s="16">
        <v>2020700000</v>
      </c>
      <c r="B49" s="18" t="s">
        <v>22</v>
      </c>
      <c r="C49" s="12"/>
      <c r="D49" s="181"/>
      <c r="E49" s="9" t="e">
        <f t="shared" si="0"/>
        <v>#DIV/0!</v>
      </c>
      <c r="F49" s="9">
        <f t="shared" si="1"/>
        <v>0</v>
      </c>
    </row>
    <row r="50" spans="1:8" ht="21" hidden="1" customHeight="1" x14ac:dyDescent="0.25">
      <c r="A50" s="7">
        <v>2190500005</v>
      </c>
      <c r="B50" s="11" t="s">
        <v>23</v>
      </c>
      <c r="C50" s="10">
        <v>0</v>
      </c>
      <c r="D50" s="10">
        <v>0</v>
      </c>
      <c r="E50" s="9" t="e">
        <f t="shared" si="0"/>
        <v>#DIV/0!</v>
      </c>
      <c r="F50" s="9">
        <f>SUM(D50-C50)</f>
        <v>0</v>
      </c>
    </row>
    <row r="51" spans="1:8" s="6" customFormat="1" ht="23.25" customHeight="1" x14ac:dyDescent="0.25">
      <c r="A51" s="3"/>
      <c r="B51" s="4" t="s">
        <v>25</v>
      </c>
      <c r="C51" s="224">
        <f>C41+C42</f>
        <v>18638.026559999998</v>
      </c>
      <c r="D51" s="394">
        <f>D41+D42</f>
        <v>17278.989310000001</v>
      </c>
      <c r="E51" s="5">
        <f t="shared" si="0"/>
        <v>92.7082556427047</v>
      </c>
      <c r="F51" s="5">
        <f t="shared" si="1"/>
        <v>-1359.0372499999976</v>
      </c>
      <c r="G51" s="93"/>
      <c r="H51" s="93"/>
    </row>
    <row r="52" spans="1:8" s="6" customFormat="1" x14ac:dyDescent="0.25">
      <c r="A52" s="3"/>
      <c r="B52" s="21" t="s">
        <v>299</v>
      </c>
      <c r="C52" s="5">
        <f>C51-C100</f>
        <v>-1106.9668700000002</v>
      </c>
      <c r="D52" s="5">
        <f>D51-D100</f>
        <v>-527.49764000000141</v>
      </c>
      <c r="E52" s="22"/>
      <c r="F52" s="22"/>
    </row>
    <row r="53" spans="1:8" ht="32.25" customHeight="1" x14ac:dyDescent="0.25">
      <c r="A53" s="23"/>
      <c r="B53" s="24"/>
      <c r="C53" s="177"/>
      <c r="D53" s="25"/>
      <c r="E53" s="26"/>
      <c r="F53" s="27"/>
    </row>
    <row r="54" spans="1:8" ht="63" x14ac:dyDescent="0.25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8" x14ac:dyDescent="0.25">
      <c r="A55" s="88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8" customHeight="1" x14ac:dyDescent="0.25">
      <c r="A56" s="30" t="s">
        <v>27</v>
      </c>
      <c r="B56" s="31" t="s">
        <v>28</v>
      </c>
      <c r="C56" s="22">
        <f>C57+C58+C59+C60+C61+C63+C62</f>
        <v>1513.7356600000001</v>
      </c>
      <c r="D56" s="101">
        <f>D57+D58+D59+D60+D61+D63+D62</f>
        <v>1451.2435</v>
      </c>
      <c r="E56" s="34">
        <f>SUM(D56/C56*100)</f>
        <v>95.871659652914559</v>
      </c>
      <c r="F56" s="34">
        <f>SUM(D56-C56)</f>
        <v>-62.492160000000013</v>
      </c>
    </row>
    <row r="57" spans="1:8" s="6" customFormat="1" ht="1.5" hidden="1" customHeight="1" x14ac:dyDescent="0.25">
      <c r="A57" s="35" t="s">
        <v>29</v>
      </c>
      <c r="B57" s="36" t="s">
        <v>30</v>
      </c>
      <c r="C57" s="91">
        <v>0</v>
      </c>
      <c r="D57" s="91">
        <v>0</v>
      </c>
      <c r="E57" s="38" t="e">
        <f>SUM(D57/C57*100)</f>
        <v>#DIV/0!</v>
      </c>
      <c r="F57" s="38">
        <f>SUM(D57-C57)</f>
        <v>0</v>
      </c>
    </row>
    <row r="58" spans="1:8" ht="13.5" customHeight="1" x14ac:dyDescent="0.25">
      <c r="A58" s="35" t="s">
        <v>31</v>
      </c>
      <c r="B58" s="39" t="s">
        <v>32</v>
      </c>
      <c r="C58" s="91">
        <v>1501.3076599999999</v>
      </c>
      <c r="D58" s="91">
        <v>1439.8154999999999</v>
      </c>
      <c r="E58" s="38">
        <f t="shared" ref="E58:E100" si="3">SUM(D58/C58*100)</f>
        <v>95.904093368843533</v>
      </c>
      <c r="F58" s="38">
        <f t="shared" ref="F58:F100" si="4">SUM(D58-C58)</f>
        <v>-61.492160000000013</v>
      </c>
    </row>
    <row r="59" spans="1:8" ht="16.5" hidden="1" customHeight="1" x14ac:dyDescent="0.25">
      <c r="A59" s="35" t="s">
        <v>33</v>
      </c>
      <c r="B59" s="39" t="s">
        <v>34</v>
      </c>
      <c r="C59" s="91"/>
      <c r="D59" s="91"/>
      <c r="E59" s="38"/>
      <c r="F59" s="38">
        <f t="shared" si="4"/>
        <v>0</v>
      </c>
    </row>
    <row r="60" spans="1:8" ht="31.5" hidden="1" customHeight="1" x14ac:dyDescent="0.25">
      <c r="A60" s="35" t="s">
        <v>35</v>
      </c>
      <c r="B60" s="39" t="s">
        <v>36</v>
      </c>
      <c r="C60" s="91"/>
      <c r="D60" s="91"/>
      <c r="E60" s="38" t="e">
        <f t="shared" si="3"/>
        <v>#DIV/0!</v>
      </c>
      <c r="F60" s="38">
        <f t="shared" si="4"/>
        <v>0</v>
      </c>
    </row>
    <row r="61" spans="1:8" ht="19.5" hidden="1" customHeight="1" x14ac:dyDescent="0.25">
      <c r="A61" s="35" t="s">
        <v>37</v>
      </c>
      <c r="B61" s="39" t="s">
        <v>38</v>
      </c>
      <c r="C61" s="91">
        <v>0</v>
      </c>
      <c r="D61" s="91">
        <v>0</v>
      </c>
      <c r="E61" s="38" t="e">
        <f t="shared" si="3"/>
        <v>#DIV/0!</v>
      </c>
      <c r="F61" s="38">
        <f t="shared" si="4"/>
        <v>0</v>
      </c>
    </row>
    <row r="62" spans="1:8" ht="15.75" customHeight="1" x14ac:dyDescent="0.25">
      <c r="A62" s="35" t="s">
        <v>39</v>
      </c>
      <c r="B62" s="39" t="s">
        <v>40</v>
      </c>
      <c r="C62" s="102">
        <v>1</v>
      </c>
      <c r="D62" s="102">
        <v>0</v>
      </c>
      <c r="E62" s="38">
        <f t="shared" si="3"/>
        <v>0</v>
      </c>
      <c r="F62" s="38">
        <f t="shared" si="4"/>
        <v>-1</v>
      </c>
    </row>
    <row r="63" spans="1:8" ht="14.25" customHeight="1" x14ac:dyDescent="0.25">
      <c r="A63" s="35" t="s">
        <v>41</v>
      </c>
      <c r="B63" s="39" t="s">
        <v>42</v>
      </c>
      <c r="C63" s="91">
        <v>11.428000000000001</v>
      </c>
      <c r="D63" s="91">
        <v>11.428000000000001</v>
      </c>
      <c r="E63" s="38">
        <f t="shared" si="3"/>
        <v>100</v>
      </c>
      <c r="F63" s="38">
        <f t="shared" si="4"/>
        <v>0</v>
      </c>
    </row>
    <row r="64" spans="1:8" s="6" customFormat="1" x14ac:dyDescent="0.25">
      <c r="A64" s="41" t="s">
        <v>43</v>
      </c>
      <c r="B64" s="42" t="s">
        <v>44</v>
      </c>
      <c r="C64" s="22">
        <f>C65</f>
        <v>112.34692</v>
      </c>
      <c r="D64" s="22">
        <f>D65</f>
        <v>112.34692</v>
      </c>
      <c r="E64" s="34">
        <f t="shared" si="3"/>
        <v>100</v>
      </c>
      <c r="F64" s="34">
        <f t="shared" si="4"/>
        <v>0</v>
      </c>
    </row>
    <row r="65" spans="1:7" ht="15" customHeight="1" x14ac:dyDescent="0.25">
      <c r="A65" s="43" t="s">
        <v>45</v>
      </c>
      <c r="B65" s="44" t="s">
        <v>46</v>
      </c>
      <c r="C65" s="91">
        <v>112.34692</v>
      </c>
      <c r="D65" s="91">
        <v>112.34692</v>
      </c>
      <c r="E65" s="38">
        <f t="shared" si="3"/>
        <v>100</v>
      </c>
      <c r="F65" s="38">
        <f t="shared" si="4"/>
        <v>0</v>
      </c>
    </row>
    <row r="66" spans="1:7" s="6" customFormat="1" ht="18" customHeight="1" x14ac:dyDescent="0.25">
      <c r="A66" s="30" t="s">
        <v>47</v>
      </c>
      <c r="B66" s="31" t="s">
        <v>48</v>
      </c>
      <c r="C66" s="22">
        <f>C69+C70+C71</f>
        <v>27.511340000000001</v>
      </c>
      <c r="D66" s="22">
        <f>D69+D70+D71</f>
        <v>27.511340000000001</v>
      </c>
      <c r="E66" s="34">
        <f t="shared" si="3"/>
        <v>100</v>
      </c>
      <c r="F66" s="34">
        <f t="shared" si="4"/>
        <v>0</v>
      </c>
    </row>
    <row r="67" spans="1:7" ht="0.75" hidden="1" customHeight="1" x14ac:dyDescent="0.25">
      <c r="A67" s="35" t="s">
        <v>49</v>
      </c>
      <c r="B67" s="39" t="s">
        <v>50</v>
      </c>
      <c r="C67" s="91"/>
      <c r="D67" s="91"/>
      <c r="E67" s="34" t="e">
        <f t="shared" si="3"/>
        <v>#DIV/0!</v>
      </c>
      <c r="F67" s="34">
        <f t="shared" si="4"/>
        <v>0</v>
      </c>
    </row>
    <row r="68" spans="1:7" ht="18" hidden="1" customHeight="1" x14ac:dyDescent="0.25">
      <c r="A68" s="45" t="s">
        <v>51</v>
      </c>
      <c r="B68" s="39" t="s">
        <v>52</v>
      </c>
      <c r="C68" s="91"/>
      <c r="D68" s="91"/>
      <c r="E68" s="34" t="e">
        <f t="shared" si="3"/>
        <v>#DIV/0!</v>
      </c>
      <c r="F68" s="34">
        <f t="shared" si="4"/>
        <v>0</v>
      </c>
    </row>
    <row r="69" spans="1:7" ht="17.25" customHeight="1" x14ac:dyDescent="0.25">
      <c r="A69" s="46" t="s">
        <v>53</v>
      </c>
      <c r="B69" s="47" t="s">
        <v>54</v>
      </c>
      <c r="C69" s="91">
        <v>2.83134</v>
      </c>
      <c r="D69" s="91">
        <v>2.83134</v>
      </c>
      <c r="E69" s="34">
        <f t="shared" si="3"/>
        <v>100</v>
      </c>
      <c r="F69" s="34">
        <f t="shared" si="4"/>
        <v>0</v>
      </c>
    </row>
    <row r="70" spans="1:7" ht="17.25" customHeight="1" x14ac:dyDescent="0.25">
      <c r="A70" s="46" t="s">
        <v>210</v>
      </c>
      <c r="B70" s="47" t="s">
        <v>211</v>
      </c>
      <c r="C70" s="91">
        <v>22.68</v>
      </c>
      <c r="D70" s="91">
        <v>22.68</v>
      </c>
      <c r="E70" s="38">
        <f t="shared" si="3"/>
        <v>100</v>
      </c>
      <c r="F70" s="38">
        <f t="shared" si="4"/>
        <v>0</v>
      </c>
    </row>
    <row r="71" spans="1:7" ht="17.25" customHeight="1" x14ac:dyDescent="0.25">
      <c r="A71" s="46" t="s">
        <v>330</v>
      </c>
      <c r="B71" s="47" t="s">
        <v>381</v>
      </c>
      <c r="C71" s="91">
        <v>2</v>
      </c>
      <c r="D71" s="91">
        <v>2</v>
      </c>
      <c r="E71" s="38">
        <f>SUM(D71/C71*100)</f>
        <v>100</v>
      </c>
      <c r="F71" s="38">
        <f>SUM(D71-C71)</f>
        <v>0</v>
      </c>
    </row>
    <row r="72" spans="1:7" s="6" customFormat="1" ht="19.5" customHeight="1" x14ac:dyDescent="0.25">
      <c r="A72" s="30" t="s">
        <v>55</v>
      </c>
      <c r="B72" s="31" t="s">
        <v>56</v>
      </c>
      <c r="C72" s="103">
        <f>C74+C75+C76+C73</f>
        <v>10038.50814</v>
      </c>
      <c r="D72" s="103">
        <f>SUM(D73:D76)</f>
        <v>9454.438180000001</v>
      </c>
      <c r="E72" s="34">
        <f t="shared" si="3"/>
        <v>94.181705569648528</v>
      </c>
      <c r="F72" s="34">
        <f t="shared" si="4"/>
        <v>-584.0699599999989</v>
      </c>
    </row>
    <row r="73" spans="1:7" ht="17.25" customHeight="1" x14ac:dyDescent="0.25">
      <c r="A73" s="35" t="s">
        <v>57</v>
      </c>
      <c r="B73" s="39" t="s">
        <v>58</v>
      </c>
      <c r="C73" s="104">
        <v>14.3093</v>
      </c>
      <c r="D73" s="91">
        <v>14.2926</v>
      </c>
      <c r="E73" s="38">
        <f t="shared" si="3"/>
        <v>99.883292683779075</v>
      </c>
      <c r="F73" s="38">
        <f t="shared" si="4"/>
        <v>-1.6700000000000159E-2</v>
      </c>
    </row>
    <row r="74" spans="1:7" s="6" customFormat="1" ht="17.25" hidden="1" customHeight="1" x14ac:dyDescent="0.25">
      <c r="A74" s="35" t="s">
        <v>59</v>
      </c>
      <c r="B74" s="39" t="s">
        <v>60</v>
      </c>
      <c r="C74" s="104">
        <v>0</v>
      </c>
      <c r="D74" s="91">
        <v>0</v>
      </c>
      <c r="E74" s="38" t="e">
        <f t="shared" si="3"/>
        <v>#DIV/0!</v>
      </c>
      <c r="F74" s="38">
        <f t="shared" si="4"/>
        <v>0</v>
      </c>
      <c r="G74" s="50"/>
    </row>
    <row r="75" spans="1:7" ht="16.5" customHeight="1" x14ac:dyDescent="0.25">
      <c r="A75" s="35" t="s">
        <v>61</v>
      </c>
      <c r="B75" s="39" t="s">
        <v>62</v>
      </c>
      <c r="C75" s="104">
        <v>9662.6988399999991</v>
      </c>
      <c r="D75" s="91">
        <v>9078.6455800000003</v>
      </c>
      <c r="E75" s="38">
        <f t="shared" si="3"/>
        <v>93.955588705898251</v>
      </c>
      <c r="F75" s="38">
        <f t="shared" si="4"/>
        <v>-584.05325999999877</v>
      </c>
    </row>
    <row r="76" spans="1:7" ht="16.5" customHeight="1" x14ac:dyDescent="0.25">
      <c r="A76" s="35" t="s">
        <v>63</v>
      </c>
      <c r="B76" s="39" t="s">
        <v>64</v>
      </c>
      <c r="C76" s="104">
        <v>361.5</v>
      </c>
      <c r="D76" s="91">
        <v>361.5</v>
      </c>
      <c r="E76" s="38">
        <f t="shared" si="3"/>
        <v>100</v>
      </c>
      <c r="F76" s="38">
        <f t="shared" si="4"/>
        <v>0</v>
      </c>
    </row>
    <row r="77" spans="1:7" ht="15.75" hidden="1" customHeight="1" x14ac:dyDescent="0.25">
      <c r="A77" s="30" t="s">
        <v>47</v>
      </c>
      <c r="B77" s="31" t="s">
        <v>48</v>
      </c>
      <c r="C77" s="103">
        <v>0</v>
      </c>
      <c r="D77" s="91"/>
      <c r="E77" s="38"/>
      <c r="F77" s="38"/>
    </row>
    <row r="78" spans="1:7" ht="15.75" hidden="1" customHeight="1" x14ac:dyDescent="0.25">
      <c r="A78" s="46" t="s">
        <v>210</v>
      </c>
      <c r="B78" s="47" t="s">
        <v>211</v>
      </c>
      <c r="C78" s="104">
        <v>0</v>
      </c>
      <c r="D78" s="91"/>
      <c r="E78" s="38"/>
      <c r="F78" s="38"/>
    </row>
    <row r="79" spans="1:7" s="6" customFormat="1" ht="19.5" customHeight="1" x14ac:dyDescent="0.25">
      <c r="A79" s="30" t="s">
        <v>65</v>
      </c>
      <c r="B79" s="31" t="s">
        <v>66</v>
      </c>
      <c r="C79" s="22">
        <f>SUM(C80:C82)</f>
        <v>5947.4370499999995</v>
      </c>
      <c r="D79" s="22">
        <f>SUM(D80:D82)</f>
        <v>4655.49269</v>
      </c>
      <c r="E79" s="34">
        <f t="shared" si="3"/>
        <v>78.277292401102429</v>
      </c>
      <c r="F79" s="34">
        <f t="shared" si="4"/>
        <v>-1291.9443599999995</v>
      </c>
    </row>
    <row r="80" spans="1:7" hidden="1" x14ac:dyDescent="0.25">
      <c r="A80" s="35" t="s">
        <v>67</v>
      </c>
      <c r="B80" s="51" t="s">
        <v>68</v>
      </c>
      <c r="C80" s="91"/>
      <c r="D80" s="91"/>
      <c r="E80" s="38" t="e">
        <f t="shared" si="3"/>
        <v>#DIV/0!</v>
      </c>
      <c r="F80" s="38">
        <f t="shared" si="4"/>
        <v>0</v>
      </c>
    </row>
    <row r="81" spans="1:6" x14ac:dyDescent="0.25">
      <c r="A81" s="35" t="s">
        <v>69</v>
      </c>
      <c r="B81" s="51" t="s">
        <v>70</v>
      </c>
      <c r="C81" s="91">
        <v>5342.5472499999996</v>
      </c>
      <c r="D81" s="91">
        <v>4050.6028900000001</v>
      </c>
      <c r="E81" s="38">
        <f t="shared" si="3"/>
        <v>75.817820609822405</v>
      </c>
      <c r="F81" s="38">
        <f t="shared" si="4"/>
        <v>-1291.9443599999995</v>
      </c>
    </row>
    <row r="82" spans="1:6" ht="18" customHeight="1" x14ac:dyDescent="0.25">
      <c r="A82" s="35" t="s">
        <v>71</v>
      </c>
      <c r="B82" s="39" t="s">
        <v>72</v>
      </c>
      <c r="C82" s="91">
        <v>604.88980000000004</v>
      </c>
      <c r="D82" s="91">
        <v>604.88980000000004</v>
      </c>
      <c r="E82" s="38">
        <f t="shared" si="3"/>
        <v>100</v>
      </c>
      <c r="F82" s="38">
        <f t="shared" si="4"/>
        <v>0</v>
      </c>
    </row>
    <row r="83" spans="1:6" s="6" customFormat="1" ht="16.5" customHeight="1" x14ac:dyDescent="0.25">
      <c r="A83" s="30" t="s">
        <v>81</v>
      </c>
      <c r="B83" s="31" t="s">
        <v>82</v>
      </c>
      <c r="C83" s="22">
        <f>C84</f>
        <v>2099.4523199999999</v>
      </c>
      <c r="D83" s="22">
        <f>SUM(D84)</f>
        <v>2099.4523199999999</v>
      </c>
      <c r="E83" s="34">
        <f t="shared" si="3"/>
        <v>100</v>
      </c>
      <c r="F83" s="34">
        <f t="shared" si="4"/>
        <v>0</v>
      </c>
    </row>
    <row r="84" spans="1:6" ht="14.25" customHeight="1" x14ac:dyDescent="0.25">
      <c r="A84" s="35" t="s">
        <v>83</v>
      </c>
      <c r="B84" s="39" t="s">
        <v>225</v>
      </c>
      <c r="C84" s="91">
        <v>2099.4523199999999</v>
      </c>
      <c r="D84" s="91">
        <v>2099.4523199999999</v>
      </c>
      <c r="E84" s="38">
        <f t="shared" si="3"/>
        <v>100</v>
      </c>
      <c r="F84" s="38">
        <f t="shared" si="4"/>
        <v>0</v>
      </c>
    </row>
    <row r="85" spans="1:6" s="6" customFormat="1" ht="12" hidden="1" customHeight="1" x14ac:dyDescent="0.25">
      <c r="A85" s="52">
        <v>1000</v>
      </c>
      <c r="B85" s="31" t="s">
        <v>84</v>
      </c>
      <c r="C85" s="22">
        <f>SUM(C86:C89)</f>
        <v>0</v>
      </c>
      <c r="D85" s="2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9" hidden="1" customHeight="1" x14ac:dyDescent="0.25">
      <c r="A86" s="53">
        <v>1001</v>
      </c>
      <c r="B86" s="54" t="s">
        <v>85</v>
      </c>
      <c r="C86" s="91"/>
      <c r="D86" s="91"/>
      <c r="E86" s="38" t="e">
        <f t="shared" si="3"/>
        <v>#DIV/0!</v>
      </c>
      <c r="F86" s="38">
        <f t="shared" si="4"/>
        <v>0</v>
      </c>
    </row>
    <row r="87" spans="1:6" ht="12" hidden="1" customHeight="1" x14ac:dyDescent="0.25">
      <c r="A87" s="53">
        <v>1003</v>
      </c>
      <c r="B87" s="54" t="s">
        <v>86</v>
      </c>
      <c r="C87" s="91">
        <v>0</v>
      </c>
      <c r="D87" s="91">
        <v>0</v>
      </c>
      <c r="E87" s="38" t="e">
        <f t="shared" si="3"/>
        <v>#DIV/0!</v>
      </c>
      <c r="F87" s="38">
        <f t="shared" si="4"/>
        <v>0</v>
      </c>
    </row>
    <row r="88" spans="1:6" ht="12.75" hidden="1" customHeight="1" x14ac:dyDescent="0.25">
      <c r="A88" s="53">
        <v>1004</v>
      </c>
      <c r="B88" s="54" t="s">
        <v>87</v>
      </c>
      <c r="C88" s="91">
        <v>0</v>
      </c>
      <c r="D88" s="183">
        <v>0</v>
      </c>
      <c r="E88" s="38" t="e">
        <f t="shared" si="3"/>
        <v>#DIV/0!</v>
      </c>
      <c r="F88" s="38">
        <f t="shared" si="4"/>
        <v>0</v>
      </c>
    </row>
    <row r="89" spans="1:6" ht="19.5" hidden="1" customHeight="1" x14ac:dyDescent="0.25">
      <c r="A89" s="35" t="s">
        <v>88</v>
      </c>
      <c r="B89" s="39" t="s">
        <v>89</v>
      </c>
      <c r="C89" s="91">
        <v>0</v>
      </c>
      <c r="D89" s="91">
        <v>0</v>
      </c>
      <c r="E89" s="38"/>
      <c r="F89" s="38">
        <f t="shared" si="4"/>
        <v>0</v>
      </c>
    </row>
    <row r="90" spans="1:6" ht="15" customHeight="1" x14ac:dyDescent="0.25">
      <c r="A90" s="30" t="s">
        <v>90</v>
      </c>
      <c r="B90" s="31" t="s">
        <v>91</v>
      </c>
      <c r="C90" s="22">
        <f>C91+C92+C93+C94+C95</f>
        <v>6.0019999999999998</v>
      </c>
      <c r="D90" s="22">
        <f>D91+D92+D93+D94+D95</f>
        <v>6.0019999999999998</v>
      </c>
      <c r="E90" s="38">
        <f t="shared" si="3"/>
        <v>100</v>
      </c>
      <c r="F90" s="22">
        <f>F91+F92+F93+F94+F95</f>
        <v>0</v>
      </c>
    </row>
    <row r="91" spans="1:6" ht="19.5" customHeight="1" x14ac:dyDescent="0.25">
      <c r="A91" s="35" t="s">
        <v>92</v>
      </c>
      <c r="B91" s="39" t="s">
        <v>93</v>
      </c>
      <c r="C91" s="91">
        <v>6.0019999999999998</v>
      </c>
      <c r="D91" s="91">
        <v>6.0019999999999998</v>
      </c>
      <c r="E91" s="38">
        <f t="shared" si="3"/>
        <v>100</v>
      </c>
      <c r="F91" s="38">
        <f>SUM(D91-C91)</f>
        <v>0</v>
      </c>
    </row>
    <row r="92" spans="1:6" ht="15" hidden="1" customHeight="1" x14ac:dyDescent="0.25">
      <c r="A92" s="35" t="s">
        <v>94</v>
      </c>
      <c r="B92" s="39" t="s">
        <v>95</v>
      </c>
      <c r="C92" s="91"/>
      <c r="D92" s="91"/>
      <c r="E92" s="38" t="e">
        <f t="shared" si="3"/>
        <v>#DIV/0!</v>
      </c>
      <c r="F92" s="38">
        <f>SUM(D92-C92)</f>
        <v>0</v>
      </c>
    </row>
    <row r="93" spans="1:6" ht="15" hidden="1" customHeight="1" x14ac:dyDescent="0.25">
      <c r="A93" s="35" t="s">
        <v>96</v>
      </c>
      <c r="B93" s="39" t="s">
        <v>97</v>
      </c>
      <c r="C93" s="91"/>
      <c r="D93" s="91"/>
      <c r="E93" s="38" t="e">
        <f t="shared" si="3"/>
        <v>#DIV/0!</v>
      </c>
      <c r="F93" s="38"/>
    </row>
    <row r="94" spans="1:6" ht="15" hidden="1" customHeight="1" x14ac:dyDescent="0.25">
      <c r="A94" s="35" t="s">
        <v>98</v>
      </c>
      <c r="B94" s="39" t="s">
        <v>99</v>
      </c>
      <c r="C94" s="91"/>
      <c r="D94" s="91"/>
      <c r="E94" s="38" t="e">
        <f t="shared" si="3"/>
        <v>#DIV/0!</v>
      </c>
      <c r="F94" s="38"/>
    </row>
    <row r="95" spans="1:6" ht="57.75" hidden="1" customHeight="1" x14ac:dyDescent="0.25">
      <c r="A95" s="35" t="s">
        <v>100</v>
      </c>
      <c r="B95" s="39" t="s">
        <v>101</v>
      </c>
      <c r="C95" s="91"/>
      <c r="D95" s="91"/>
      <c r="E95" s="38" t="e">
        <f t="shared" si="3"/>
        <v>#DIV/0!</v>
      </c>
      <c r="F95" s="38"/>
    </row>
    <row r="96" spans="1:6" s="6" customFormat="1" ht="15" hidden="1" customHeight="1" x14ac:dyDescent="0.25">
      <c r="A96" s="52">
        <v>1400</v>
      </c>
      <c r="B96" s="56" t="s">
        <v>109</v>
      </c>
      <c r="C96" s="103">
        <f>C97+C98+C99</f>
        <v>0</v>
      </c>
      <c r="D96" s="103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6.5" hidden="1" customHeight="1" x14ac:dyDescent="0.25">
      <c r="A97" s="53">
        <v>1401</v>
      </c>
      <c r="B97" s="54" t="s">
        <v>110</v>
      </c>
      <c r="C97" s="91">
        <v>0</v>
      </c>
      <c r="D97" s="91">
        <v>0</v>
      </c>
      <c r="E97" s="38" t="e">
        <f t="shared" si="3"/>
        <v>#DIV/0!</v>
      </c>
      <c r="F97" s="38">
        <f t="shared" si="4"/>
        <v>0</v>
      </c>
    </row>
    <row r="98" spans="1:6" ht="20.25" hidden="1" customHeight="1" x14ac:dyDescent="0.25">
      <c r="A98" s="53">
        <v>1402</v>
      </c>
      <c r="B98" s="54" t="s">
        <v>111</v>
      </c>
      <c r="C98" s="104">
        <v>0</v>
      </c>
      <c r="D98" s="91">
        <v>0</v>
      </c>
      <c r="E98" s="38" t="e">
        <f t="shared" si="3"/>
        <v>#DIV/0!</v>
      </c>
      <c r="F98" s="38">
        <f t="shared" si="4"/>
        <v>0</v>
      </c>
    </row>
    <row r="99" spans="1:6" ht="13.5" hidden="1" customHeight="1" x14ac:dyDescent="0.25">
      <c r="A99" s="53">
        <v>1403</v>
      </c>
      <c r="B99" s="54" t="s">
        <v>112</v>
      </c>
      <c r="C99" s="104">
        <v>0</v>
      </c>
      <c r="D99" s="91">
        <v>0</v>
      </c>
      <c r="E99" s="38" t="e">
        <f t="shared" si="3"/>
        <v>#DIV/0!</v>
      </c>
      <c r="F99" s="38">
        <f t="shared" si="4"/>
        <v>0</v>
      </c>
    </row>
    <row r="100" spans="1:6" s="6" customFormat="1" x14ac:dyDescent="0.25">
      <c r="A100" s="52"/>
      <c r="B100" s="57" t="s">
        <v>113</v>
      </c>
      <c r="C100" s="386">
        <f>C56+C64+C66+C72+C79+C83+C85+C90+C77</f>
        <v>19744.993429999999</v>
      </c>
      <c r="D100" s="386">
        <f>D56+D64+D66+D72+D79+D83+D90+D85</f>
        <v>17806.486950000002</v>
      </c>
      <c r="E100" s="34">
        <f t="shared" si="3"/>
        <v>90.182288553944602</v>
      </c>
      <c r="F100" s="34">
        <f t="shared" si="4"/>
        <v>-1938.5064799999964</v>
      </c>
    </row>
    <row r="101" spans="1:6" ht="5.25" customHeight="1" x14ac:dyDescent="0.25">
      <c r="C101" s="118"/>
      <c r="D101" s="61"/>
    </row>
    <row r="102" spans="1:6" s="65" customFormat="1" ht="12.75" x14ac:dyDescent="0.2">
      <c r="A102" s="63" t="s">
        <v>114</v>
      </c>
      <c r="B102" s="63"/>
      <c r="C102" s="114"/>
      <c r="D102" s="64"/>
    </row>
    <row r="103" spans="1:6" s="65" customFormat="1" ht="12.75" x14ac:dyDescent="0.2">
      <c r="A103" s="66" t="s">
        <v>115</v>
      </c>
      <c r="B103" s="66"/>
      <c r="C103" s="65" t="s">
        <v>116</v>
      </c>
    </row>
    <row r="104" spans="1:6" x14ac:dyDescent="0.25">
      <c r="C104" s="118"/>
    </row>
    <row r="142" hidden="1" x14ac:dyDescent="0.25"/>
  </sheetData>
  <customSheetViews>
    <customSheetView guid="{4D5E6ACC-9055-4DE9-8C20-9052F3C35D19}" scale="70" showPageBreaks="1" fitToPage="1" printArea="1" hiddenRows="1" state="hidden" view="pageBreakPreview" topLeftCell="A4">
      <selection activeCell="D29" sqref="D29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5C539BE6-C8E0-453F-AB5E-9E58094195EA}" scale="70" showPageBreaks="1" fitToPage="1" printArea="1" hiddenRows="1" view="pageBreakPreview" topLeftCell="A36">
      <selection activeCell="C85" sqref="C85"/>
      <pageMargins left="0.70866141732283472" right="0.70866141732283472" top="0.74803149606299213" bottom="0.74803149606299213" header="0.31496062992125984" footer="0.31496062992125984"/>
      <pageSetup paperSize="9" scale="53" orientation="portrait" r:id="rId2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4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5"/>
    </customSheetView>
    <customSheetView guid="{B31C8DB7-3E78-4144-A6B5-8DE36DE63F0E}" scale="89" showPageBreaks="1" printArea="1" hiddenRows="1" view="pageBreakPreview" topLeftCell="A10">
      <selection activeCell="C38" sqref="C38"/>
      <pageMargins left="0.7" right="0.7" top="0.75" bottom="0.75" header="0.3" footer="0.3"/>
      <pageSetup paperSize="9" scale="47" orientation="portrait" r:id="rId6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7"/>
    </customSheetView>
    <customSheetView guid="{B30CE22D-C12F-4E12-8BB9-3AAE0A6991CC}" scale="70" showPageBreaks="1" fitToPage="1" printArea="1" hiddenRows="1" view="pageBreakPreview" topLeftCell="A34">
      <selection activeCell="D102" sqref="C102:D102"/>
      <pageMargins left="0.70866141732283472" right="0.70866141732283472" top="0.74803149606299213" bottom="0.74803149606299213" header="0.31496062992125984" footer="0.31496062992125984"/>
      <pageSetup paperSize="9" scale="53" orientation="portrait" r:id="rId8"/>
    </customSheetView>
    <customSheetView guid="{1718F1EE-9F48-4DBE-9531-3B70F9C4A5DD}" scale="70" showPageBreaks="1" printArea="1" hiddenRows="1" view="pageBreakPreview" topLeftCell="A37">
      <selection activeCell="C100" sqref="C100"/>
      <pageMargins left="0.7" right="0.7" top="0.75" bottom="0.75" header="0.3" footer="0.3"/>
      <pageSetup paperSize="9" scale="39" orientation="portrait" r:id="rId9"/>
    </customSheetView>
    <customSheetView guid="{3DCB9AAA-F09C-4EA6-B992-F93E466D374A}" printArea="1" topLeftCell="A47">
      <selection activeCell="B100" sqref="B100"/>
      <pageMargins left="0.7" right="0.7" top="0.75" bottom="0.75" header="0.3" footer="0.3"/>
      <pageSetup paperSize="9" scale="56" orientation="portrait" r:id="rId10"/>
    </customSheetView>
    <customSheetView guid="{F85EE840-0C31-454A-8951-832C2E9E0600}" scale="70" showPageBreaks="1" fitToPage="1" printArea="1" state="hidden" view="pageBreakPreview" topLeftCell="A33">
      <selection activeCell="D94" sqref="D94"/>
      <pageMargins left="0.70866141732283472" right="0.70866141732283472" top="0.74803149606299213" bottom="0.74803149606299213" header="0.31496062992125984" footer="0.31496062992125984"/>
      <pageSetup paperSize="9" scale="39" orientation="portrait" r:id="rId11"/>
    </customSheetView>
    <customSheetView guid="{F1E84C44-1ACD-474A-BDE0-C7088DB6C590}" scale="70" showPageBreaks="1" fitToPage="1" printArea="1" hiddenRows="1" state="hidden" view="pageBreakPreview" topLeftCell="A4">
      <selection activeCell="D29" sqref="D29"/>
      <pageMargins left="0.70866141732283472" right="0.70866141732283472" top="0.74803149606299213" bottom="0.74803149606299213" header="0.31496062992125984" footer="0.31496062992125984"/>
      <pageSetup paperSize="9" scale="56" orientation="portrait" r:id="rId12"/>
    </customSheetView>
    <customSheetView guid="{61528DAC-5C4C-48F4-ADE2-8A724B05A086}" scale="70" showPageBreaks="1" fitToPage="1" printArea="1" hiddenRows="1" state="hidden" view="pageBreakPreview" topLeftCell="A4">
      <selection activeCell="D29" sqref="D29"/>
      <pageMargins left="0.70866141732283472" right="0.70866141732283472" top="0.74803149606299213" bottom="0.74803149606299213" header="0.31496062992125984" footer="0.31496062992125984"/>
      <pageSetup paperSize="9" scale="56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H142"/>
  <sheetViews>
    <sheetView view="pageBreakPreview" topLeftCell="A25" zoomScale="70" zoomScaleNormal="100" zoomScaleSheetLayoutView="70" workbookViewId="0">
      <selection activeCell="C88" sqref="C88"/>
    </sheetView>
  </sheetViews>
  <sheetFormatPr defaultRowHeight="15.75" x14ac:dyDescent="0.25"/>
  <cols>
    <col min="1" max="1" width="14.7109375" style="58" customWidth="1"/>
    <col min="2" max="2" width="57.5703125" style="59" customWidth="1"/>
    <col min="3" max="3" width="17.85546875" style="62" customWidth="1"/>
    <col min="4" max="4" width="18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 x14ac:dyDescent="0.25">
      <c r="A1" s="599" t="s">
        <v>422</v>
      </c>
      <c r="B1" s="599"/>
      <c r="C1" s="599"/>
      <c r="D1" s="599"/>
      <c r="E1" s="599"/>
      <c r="F1" s="599"/>
    </row>
    <row r="2" spans="1:6" x14ac:dyDescent="0.25">
      <c r="A2" s="599"/>
      <c r="B2" s="599"/>
      <c r="C2" s="599"/>
      <c r="D2" s="599"/>
      <c r="E2" s="599"/>
      <c r="F2" s="599"/>
    </row>
    <row r="3" spans="1:6" ht="63" x14ac:dyDescent="0.25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 x14ac:dyDescent="0.25">
      <c r="A4" s="3"/>
      <c r="B4" s="4" t="s">
        <v>4</v>
      </c>
      <c r="C4" s="187">
        <f>C5+C12+C14+C17+C20+C7</f>
        <v>5123.3099999999995</v>
      </c>
      <c r="D4" s="187">
        <f>D5+D12+D14+D17+D20+D7</f>
        <v>5832.8704600000001</v>
      </c>
      <c r="E4" s="5">
        <f>SUM(D4/C4*100)</f>
        <v>113.84964915259863</v>
      </c>
      <c r="F4" s="5">
        <f>SUM(D4-C4)</f>
        <v>709.5604600000006</v>
      </c>
    </row>
    <row r="5" spans="1:6" s="6" customFormat="1" x14ac:dyDescent="0.25">
      <c r="A5" s="68">
        <v>1010000000</v>
      </c>
      <c r="B5" s="67" t="s">
        <v>5</v>
      </c>
      <c r="C5" s="187">
        <f>C6</f>
        <v>594</v>
      </c>
      <c r="D5" s="187">
        <f>D6</f>
        <v>769.03701000000001</v>
      </c>
      <c r="E5" s="5">
        <f t="shared" ref="E5:E50" si="0">SUM(D5/C5*100)</f>
        <v>129.46751010101011</v>
      </c>
      <c r="F5" s="5">
        <f t="shared" ref="F5:F50" si="1">SUM(D5-C5)</f>
        <v>175.03701000000001</v>
      </c>
    </row>
    <row r="6" spans="1:6" x14ac:dyDescent="0.25">
      <c r="A6" s="7">
        <v>1010200001</v>
      </c>
      <c r="B6" s="8" t="s">
        <v>220</v>
      </c>
      <c r="C6" s="211">
        <v>594</v>
      </c>
      <c r="D6" s="212">
        <v>769.03701000000001</v>
      </c>
      <c r="E6" s="9">
        <f t="shared" ref="E6:E11" si="2">SUM(D6/C6*100)</f>
        <v>129.46751010101011</v>
      </c>
      <c r="F6" s="9">
        <f t="shared" si="1"/>
        <v>175.03701000000001</v>
      </c>
    </row>
    <row r="7" spans="1:6" ht="31.5" x14ac:dyDescent="0.25">
      <c r="A7" s="3">
        <v>1030000000</v>
      </c>
      <c r="B7" s="13" t="s">
        <v>259</v>
      </c>
      <c r="C7" s="256">
        <f>C8+C10+C9</f>
        <v>971.31</v>
      </c>
      <c r="D7" s="187">
        <f>D8+D10+D9+D11</f>
        <v>1094.3040699999999</v>
      </c>
      <c r="E7" s="5">
        <f t="shared" si="2"/>
        <v>112.66269985895336</v>
      </c>
      <c r="F7" s="5">
        <f t="shared" si="1"/>
        <v>122.99406999999997</v>
      </c>
    </row>
    <row r="8" spans="1:6" x14ac:dyDescent="0.25">
      <c r="A8" s="7">
        <v>1030223001</v>
      </c>
      <c r="B8" s="8" t="s">
        <v>261</v>
      </c>
      <c r="C8" s="211">
        <v>390.95299999999997</v>
      </c>
      <c r="D8" s="212">
        <v>548.58234000000004</v>
      </c>
      <c r="E8" s="9">
        <f t="shared" si="2"/>
        <v>140.31925576731732</v>
      </c>
      <c r="F8" s="9">
        <f t="shared" si="1"/>
        <v>157.62934000000007</v>
      </c>
    </row>
    <row r="9" spans="1:6" x14ac:dyDescent="0.25">
      <c r="A9" s="7">
        <v>1030224001</v>
      </c>
      <c r="B9" s="8" t="s">
        <v>267</v>
      </c>
      <c r="C9" s="211">
        <v>3.702</v>
      </c>
      <c r="D9" s="212">
        <v>2.9632000000000001</v>
      </c>
      <c r="E9" s="9">
        <f t="shared" si="2"/>
        <v>80.043219881145333</v>
      </c>
      <c r="F9" s="9">
        <f t="shared" si="1"/>
        <v>-0.7387999999999999</v>
      </c>
    </row>
    <row r="10" spans="1:6" x14ac:dyDescent="0.25">
      <c r="A10" s="7">
        <v>1030225001</v>
      </c>
      <c r="B10" s="8" t="s">
        <v>260</v>
      </c>
      <c r="C10" s="211">
        <v>576.65499999999997</v>
      </c>
      <c r="D10" s="212">
        <v>605.69683999999995</v>
      </c>
      <c r="E10" s="9">
        <f t="shared" si="2"/>
        <v>105.0362591150688</v>
      </c>
      <c r="F10" s="9">
        <f t="shared" si="1"/>
        <v>29.041839999999979</v>
      </c>
    </row>
    <row r="11" spans="1:6" x14ac:dyDescent="0.25">
      <c r="A11" s="7">
        <v>1030226001</v>
      </c>
      <c r="B11" s="8" t="s">
        <v>268</v>
      </c>
      <c r="C11" s="211">
        <v>0</v>
      </c>
      <c r="D11" s="210">
        <v>-62.938310000000001</v>
      </c>
      <c r="E11" s="9" t="e">
        <f t="shared" si="2"/>
        <v>#DIV/0!</v>
      </c>
      <c r="F11" s="9">
        <f t="shared" si="1"/>
        <v>-62.938310000000001</v>
      </c>
    </row>
    <row r="12" spans="1:6" s="6" customFormat="1" x14ac:dyDescent="0.25">
      <c r="A12" s="68">
        <v>1050000000</v>
      </c>
      <c r="B12" s="67" t="s">
        <v>6</v>
      </c>
      <c r="C12" s="187">
        <f>SUM(C13:C13)</f>
        <v>75</v>
      </c>
      <c r="D12" s="187">
        <f>D13</f>
        <v>139.50817000000001</v>
      </c>
      <c r="E12" s="5">
        <f t="shared" si="0"/>
        <v>186.01089333333334</v>
      </c>
      <c r="F12" s="5">
        <f t="shared" si="1"/>
        <v>64.508170000000007</v>
      </c>
    </row>
    <row r="13" spans="1:6" ht="15.75" customHeight="1" x14ac:dyDescent="0.25">
      <c r="A13" s="7">
        <v>1050300000</v>
      </c>
      <c r="B13" s="11" t="s">
        <v>221</v>
      </c>
      <c r="C13" s="213">
        <v>75</v>
      </c>
      <c r="D13" s="212">
        <v>139.50817000000001</v>
      </c>
      <c r="E13" s="9">
        <f t="shared" si="0"/>
        <v>186.01089333333334</v>
      </c>
      <c r="F13" s="9">
        <f t="shared" si="1"/>
        <v>64.508170000000007</v>
      </c>
    </row>
    <row r="14" spans="1:6" s="6" customFormat="1" ht="15.75" customHeight="1" x14ac:dyDescent="0.25">
      <c r="A14" s="68">
        <v>1060000000</v>
      </c>
      <c r="B14" s="67" t="s">
        <v>129</v>
      </c>
      <c r="C14" s="187">
        <f>C15+C16</f>
        <v>3473</v>
      </c>
      <c r="D14" s="187">
        <f>D15+D16</f>
        <v>3822.6212100000002</v>
      </c>
      <c r="E14" s="5">
        <f t="shared" si="0"/>
        <v>110.06683587676361</v>
      </c>
      <c r="F14" s="5">
        <f t="shared" si="1"/>
        <v>349.62121000000025</v>
      </c>
    </row>
    <row r="15" spans="1:6" s="6" customFormat="1" ht="15.75" customHeight="1" x14ac:dyDescent="0.25">
      <c r="A15" s="7">
        <v>1060100000</v>
      </c>
      <c r="B15" s="11" t="s">
        <v>8</v>
      </c>
      <c r="C15" s="211">
        <v>473</v>
      </c>
      <c r="D15" s="212">
        <v>558.89953000000003</v>
      </c>
      <c r="E15" s="9">
        <f t="shared" si="0"/>
        <v>118.16057716701904</v>
      </c>
      <c r="F15" s="9">
        <f>SUM(D15-C15)</f>
        <v>85.899530000000027</v>
      </c>
    </row>
    <row r="16" spans="1:6" ht="15.75" customHeight="1" x14ac:dyDescent="0.25">
      <c r="A16" s="7">
        <v>1060600000</v>
      </c>
      <c r="B16" s="11" t="s">
        <v>7</v>
      </c>
      <c r="C16" s="211">
        <v>3000</v>
      </c>
      <c r="D16" s="212">
        <v>3263.7216800000001</v>
      </c>
      <c r="E16" s="9">
        <f t="shared" si="0"/>
        <v>108.79072266666667</v>
      </c>
      <c r="F16" s="9">
        <f t="shared" si="1"/>
        <v>263.72168000000011</v>
      </c>
    </row>
    <row r="17" spans="1:6" s="6" customFormat="1" x14ac:dyDescent="0.25">
      <c r="A17" s="3">
        <v>1080000000</v>
      </c>
      <c r="B17" s="4" t="s">
        <v>10</v>
      </c>
      <c r="C17" s="187">
        <f>C18</f>
        <v>10</v>
      </c>
      <c r="D17" s="187">
        <f>D18</f>
        <v>7.4</v>
      </c>
      <c r="E17" s="5">
        <f t="shared" si="0"/>
        <v>74</v>
      </c>
      <c r="F17" s="5">
        <f t="shared" si="1"/>
        <v>-2.5999999999999996</v>
      </c>
    </row>
    <row r="18" spans="1:6" ht="18" customHeight="1" x14ac:dyDescent="0.25">
      <c r="A18" s="7">
        <v>1080400001</v>
      </c>
      <c r="B18" s="8" t="s">
        <v>219</v>
      </c>
      <c r="C18" s="211">
        <v>10</v>
      </c>
      <c r="D18" s="212">
        <v>7.4</v>
      </c>
      <c r="E18" s="9">
        <f t="shared" si="0"/>
        <v>74</v>
      </c>
      <c r="F18" s="9">
        <f t="shared" si="1"/>
        <v>-2.5999999999999996</v>
      </c>
    </row>
    <row r="19" spans="1:6" ht="47.25" hidden="1" customHeight="1" x14ac:dyDescent="0.25">
      <c r="A19" s="7">
        <v>1080714001</v>
      </c>
      <c r="B19" s="8" t="s">
        <v>11</v>
      </c>
      <c r="C19" s="211"/>
      <c r="D19" s="212"/>
      <c r="E19" s="9" t="e">
        <f t="shared" si="0"/>
        <v>#DIV/0!</v>
      </c>
      <c r="F19" s="9">
        <f t="shared" si="1"/>
        <v>0</v>
      </c>
    </row>
    <row r="20" spans="1:6" s="15" customFormat="1" ht="29.25" hidden="1" x14ac:dyDescent="0.25">
      <c r="A20" s="68">
        <v>1090000000</v>
      </c>
      <c r="B20" s="69" t="s">
        <v>117</v>
      </c>
      <c r="C20" s="187">
        <f>C21+C22+C23+C24</f>
        <v>0</v>
      </c>
      <c r="D20" s="187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 x14ac:dyDescent="0.25">
      <c r="A21" s="7">
        <v>1090100000</v>
      </c>
      <c r="B21" s="8" t="s">
        <v>118</v>
      </c>
      <c r="C21" s="187"/>
      <c r="D21" s="214"/>
      <c r="E21" s="9" t="e">
        <f t="shared" si="0"/>
        <v>#DIV/0!</v>
      </c>
      <c r="F21" s="9">
        <f t="shared" si="1"/>
        <v>0</v>
      </c>
    </row>
    <row r="22" spans="1:6" s="15" customFormat="1" hidden="1" x14ac:dyDescent="0.25">
      <c r="A22" s="7">
        <v>1090400000</v>
      </c>
      <c r="B22" s="8" t="s">
        <v>119</v>
      </c>
      <c r="C22" s="187"/>
      <c r="D22" s="214"/>
      <c r="E22" s="9" t="e">
        <f t="shared" si="0"/>
        <v>#DIV/0!</v>
      </c>
      <c r="F22" s="9">
        <f t="shared" si="1"/>
        <v>0</v>
      </c>
    </row>
    <row r="23" spans="1:6" s="15" customFormat="1" hidden="1" x14ac:dyDescent="0.25">
      <c r="A23" s="7">
        <v>1090600000</v>
      </c>
      <c r="B23" s="8" t="s">
        <v>120</v>
      </c>
      <c r="C23" s="187"/>
      <c r="D23" s="214"/>
      <c r="E23" s="9" t="e">
        <f t="shared" si="0"/>
        <v>#DIV/0!</v>
      </c>
      <c r="F23" s="9">
        <f t="shared" si="1"/>
        <v>0</v>
      </c>
    </row>
    <row r="24" spans="1:6" s="15" customFormat="1" hidden="1" x14ac:dyDescent="0.25">
      <c r="A24" s="7">
        <v>1090700000</v>
      </c>
      <c r="B24" s="8" t="s">
        <v>121</v>
      </c>
      <c r="C24" s="187"/>
      <c r="D24" s="214"/>
      <c r="E24" s="9" t="e">
        <f t="shared" si="0"/>
        <v>#DIV/0!</v>
      </c>
      <c r="F24" s="9">
        <f t="shared" si="1"/>
        <v>0</v>
      </c>
    </row>
    <row r="25" spans="1:6" s="6" customFormat="1" ht="15" customHeight="1" x14ac:dyDescent="0.25">
      <c r="A25" s="3"/>
      <c r="B25" s="4" t="s">
        <v>12</v>
      </c>
      <c r="C25" s="187">
        <f>C26+C29+C31+C36</f>
        <v>1066.00226</v>
      </c>
      <c r="D25" s="92">
        <f>D26+D29+D31+D36+D34</f>
        <v>2019.09275</v>
      </c>
      <c r="E25" s="5">
        <f t="shared" si="0"/>
        <v>189.40792395693421</v>
      </c>
      <c r="F25" s="5">
        <f t="shared" si="1"/>
        <v>953.09049000000005</v>
      </c>
    </row>
    <row r="26" spans="1:6" s="6" customFormat="1" ht="30" customHeight="1" x14ac:dyDescent="0.25">
      <c r="A26" s="68">
        <v>1110000000</v>
      </c>
      <c r="B26" s="69" t="s">
        <v>122</v>
      </c>
      <c r="C26" s="187">
        <f>C27+C28</f>
        <v>212</v>
      </c>
      <c r="D26" s="92">
        <f>D27+D28</f>
        <v>265.834</v>
      </c>
      <c r="E26" s="5">
        <f t="shared" si="0"/>
        <v>125.39339622641509</v>
      </c>
      <c r="F26" s="5">
        <f t="shared" si="1"/>
        <v>53.834000000000003</v>
      </c>
    </row>
    <row r="27" spans="1:6" ht="15" customHeight="1" x14ac:dyDescent="0.25">
      <c r="A27" s="16">
        <v>1110502510</v>
      </c>
      <c r="B27" s="17" t="s">
        <v>217</v>
      </c>
      <c r="C27" s="213">
        <v>200</v>
      </c>
      <c r="D27" s="210">
        <v>247.834</v>
      </c>
      <c r="E27" s="9">
        <f t="shared" si="0"/>
        <v>123.91700000000002</v>
      </c>
      <c r="F27" s="9">
        <f t="shared" si="1"/>
        <v>47.834000000000003</v>
      </c>
    </row>
    <row r="28" spans="1:6" ht="15.75" customHeight="1" x14ac:dyDescent="0.25">
      <c r="A28" s="7">
        <v>1110503505</v>
      </c>
      <c r="B28" s="11" t="s">
        <v>216</v>
      </c>
      <c r="C28" s="12">
        <v>12</v>
      </c>
      <c r="D28" s="10">
        <v>18</v>
      </c>
      <c r="E28" s="9">
        <f t="shared" si="0"/>
        <v>150</v>
      </c>
      <c r="F28" s="9">
        <f t="shared" si="1"/>
        <v>6</v>
      </c>
    </row>
    <row r="29" spans="1:6" s="15" customFormat="1" ht="29.25" x14ac:dyDescent="0.25">
      <c r="A29" s="68">
        <v>1130000000</v>
      </c>
      <c r="B29" s="69" t="s">
        <v>124</v>
      </c>
      <c r="C29" s="5">
        <f>C30</f>
        <v>30</v>
      </c>
      <c r="D29" s="5">
        <f>D30</f>
        <v>80.341700000000003</v>
      </c>
      <c r="E29" s="5">
        <f t="shared" si="0"/>
        <v>267.8056666666667</v>
      </c>
      <c r="F29" s="5">
        <f t="shared" si="1"/>
        <v>50.341700000000003</v>
      </c>
    </row>
    <row r="30" spans="1:6" ht="17.25" customHeight="1" x14ac:dyDescent="0.25">
      <c r="A30" s="7">
        <v>1130206000</v>
      </c>
      <c r="B30" s="8" t="s">
        <v>215</v>
      </c>
      <c r="C30" s="9">
        <v>30</v>
      </c>
      <c r="D30" s="10">
        <v>80.341700000000003</v>
      </c>
      <c r="E30" s="9">
        <f t="shared" si="0"/>
        <v>267.8056666666667</v>
      </c>
      <c r="F30" s="9">
        <f t="shared" si="1"/>
        <v>50.341700000000003</v>
      </c>
    </row>
    <row r="31" spans="1:6" ht="28.5" hidden="1" x14ac:dyDescent="0.25">
      <c r="A31" s="70">
        <v>1140000000</v>
      </c>
      <c r="B31" s="71" t="s">
        <v>125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 x14ac:dyDescent="0.25">
      <c r="A32" s="16">
        <v>1140200000</v>
      </c>
      <c r="B32" s="18" t="s">
        <v>213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 x14ac:dyDescent="0.25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 x14ac:dyDescent="0.25">
      <c r="A34" s="3">
        <v>1160000000</v>
      </c>
      <c r="B34" s="13" t="s">
        <v>236</v>
      </c>
      <c r="C34" s="5">
        <f>C35</f>
        <v>0</v>
      </c>
      <c r="D34" s="5">
        <f>D35</f>
        <v>15.28323</v>
      </c>
      <c r="E34" s="5" t="e">
        <f>SUM(D34/C34*100)</f>
        <v>#DIV/0!</v>
      </c>
      <c r="F34" s="5">
        <f>SUM(D34-C34)</f>
        <v>15.28323</v>
      </c>
    </row>
    <row r="35" spans="1:7" ht="15.75" customHeight="1" x14ac:dyDescent="0.25">
      <c r="A35" s="7">
        <v>1160701010</v>
      </c>
      <c r="B35" s="8" t="s">
        <v>402</v>
      </c>
      <c r="C35" s="9">
        <v>0</v>
      </c>
      <c r="D35" s="10">
        <v>15.28323</v>
      </c>
      <c r="E35" s="9" t="e">
        <f>SUM(D35/C35*100)</f>
        <v>#DIV/0!</v>
      </c>
      <c r="F35" s="9">
        <f>SUM(D35-C35)</f>
        <v>15.28323</v>
      </c>
    </row>
    <row r="36" spans="1:7" ht="16.5" customHeight="1" x14ac:dyDescent="0.25">
      <c r="A36" s="3">
        <v>1170000000</v>
      </c>
      <c r="B36" s="13" t="s">
        <v>128</v>
      </c>
      <c r="C36" s="5">
        <f>C37+C38</f>
        <v>824.00225999999998</v>
      </c>
      <c r="D36" s="5">
        <f>D37</f>
        <v>1657.63382</v>
      </c>
      <c r="E36" s="5">
        <f t="shared" si="0"/>
        <v>201.16860116378808</v>
      </c>
      <c r="F36" s="5">
        <f t="shared" si="1"/>
        <v>833.63156000000004</v>
      </c>
    </row>
    <row r="37" spans="1:7" ht="30" customHeight="1" x14ac:dyDescent="0.25">
      <c r="A37" s="7">
        <v>1171503010</v>
      </c>
      <c r="B37" s="8" t="s">
        <v>405</v>
      </c>
      <c r="C37" s="9">
        <v>824.00225999999998</v>
      </c>
      <c r="D37" s="9">
        <v>1657.63382</v>
      </c>
      <c r="E37" s="9">
        <f t="shared" si="0"/>
        <v>201.16860116378808</v>
      </c>
      <c r="F37" s="9">
        <f t="shared" si="1"/>
        <v>833.63156000000004</v>
      </c>
    </row>
    <row r="38" spans="1:7" ht="17.25" hidden="1" customHeight="1" x14ac:dyDescent="0.25">
      <c r="A38" s="7">
        <v>1170505005</v>
      </c>
      <c r="B38" s="11" t="s">
        <v>212</v>
      </c>
      <c r="C38" s="211">
        <v>0</v>
      </c>
      <c r="D38" s="212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 x14ac:dyDescent="0.25">
      <c r="A39" s="3">
        <v>1000000000</v>
      </c>
      <c r="B39" s="4" t="s">
        <v>16</v>
      </c>
      <c r="C39" s="215">
        <f>SUM(C4,C25)</f>
        <v>6189.3122599999997</v>
      </c>
      <c r="D39" s="215">
        <f>D4+D25</f>
        <v>7851.9632099999999</v>
      </c>
      <c r="E39" s="5">
        <f t="shared" si="0"/>
        <v>126.8632584713055</v>
      </c>
      <c r="F39" s="5">
        <f t="shared" si="1"/>
        <v>1662.6509500000002</v>
      </c>
    </row>
    <row r="40" spans="1:7" s="6" customFormat="1" x14ac:dyDescent="0.25">
      <c r="A40" s="3">
        <v>2000000000</v>
      </c>
      <c r="B40" s="4" t="s">
        <v>17</v>
      </c>
      <c r="C40" s="187">
        <f>C41+C43+C45+C46+C47+C48+C42+C44</f>
        <v>6805.852609999999</v>
      </c>
      <c r="D40" s="187">
        <f>D41+D43+D45+D46+D47+D48+D42+D44</f>
        <v>6805.852609999999</v>
      </c>
      <c r="E40" s="5">
        <f t="shared" si="0"/>
        <v>100</v>
      </c>
      <c r="F40" s="5">
        <f t="shared" si="1"/>
        <v>0</v>
      </c>
      <c r="G40" s="19"/>
    </row>
    <row r="41" spans="1:7" x14ac:dyDescent="0.25">
      <c r="A41" s="16">
        <v>2021000000</v>
      </c>
      <c r="B41" s="17" t="s">
        <v>18</v>
      </c>
      <c r="C41" s="216">
        <v>2418.1</v>
      </c>
      <c r="D41" s="217">
        <v>2418.1</v>
      </c>
      <c r="E41" s="9">
        <f t="shared" si="0"/>
        <v>100</v>
      </c>
      <c r="F41" s="9">
        <f t="shared" si="1"/>
        <v>0</v>
      </c>
    </row>
    <row r="42" spans="1:7" ht="17.25" hidden="1" customHeight="1" x14ac:dyDescent="0.25">
      <c r="A42" s="16">
        <v>2021500200</v>
      </c>
      <c r="B42" s="17" t="s">
        <v>223</v>
      </c>
      <c r="C42" s="216">
        <v>0</v>
      </c>
      <c r="D42" s="217">
        <v>0</v>
      </c>
      <c r="E42" s="9" t="e">
        <f>SUM(D42/C42*100)</f>
        <v>#DIV/0!</v>
      </c>
      <c r="F42" s="9">
        <f>SUM(D42-C42)</f>
        <v>0</v>
      </c>
    </row>
    <row r="43" spans="1:7" ht="15.75" customHeight="1" x14ac:dyDescent="0.25">
      <c r="A43" s="16">
        <v>2022000000</v>
      </c>
      <c r="B43" s="17" t="s">
        <v>19</v>
      </c>
      <c r="C43" s="216">
        <v>3774.8609999999999</v>
      </c>
      <c r="D43" s="212">
        <v>3774.8609999999999</v>
      </c>
      <c r="E43" s="9">
        <f t="shared" si="0"/>
        <v>100</v>
      </c>
      <c r="F43" s="9">
        <f t="shared" si="1"/>
        <v>0</v>
      </c>
    </row>
    <row r="44" spans="1:7" ht="15.75" hidden="1" customHeight="1" x14ac:dyDescent="0.25">
      <c r="A44" s="16">
        <v>2022999910</v>
      </c>
      <c r="B44" s="18" t="s">
        <v>322</v>
      </c>
      <c r="C44" s="379">
        <v>0</v>
      </c>
      <c r="D44" s="380">
        <v>0</v>
      </c>
      <c r="E44" s="9" t="e">
        <f>SUM(D44/C44*100)</f>
        <v>#DIV/0!</v>
      </c>
      <c r="F44" s="9">
        <f>SUM(D44-C44)</f>
        <v>0</v>
      </c>
    </row>
    <row r="45" spans="1:7" ht="15.75" customHeight="1" x14ac:dyDescent="0.25">
      <c r="A45" s="16">
        <v>2023000000</v>
      </c>
      <c r="B45" s="17" t="s">
        <v>20</v>
      </c>
      <c r="C45" s="213">
        <v>280.75860999999998</v>
      </c>
      <c r="D45" s="218">
        <v>280.75860999999998</v>
      </c>
      <c r="E45" s="9">
        <f t="shared" si="0"/>
        <v>100</v>
      </c>
      <c r="F45" s="9">
        <f t="shared" si="1"/>
        <v>0</v>
      </c>
    </row>
    <row r="46" spans="1:7" ht="17.25" customHeight="1" x14ac:dyDescent="0.25">
      <c r="A46" s="16">
        <v>2020400000</v>
      </c>
      <c r="B46" s="17" t="s">
        <v>21</v>
      </c>
      <c r="C46" s="213">
        <v>332.13299999999998</v>
      </c>
      <c r="D46" s="219">
        <v>332.13299999999998</v>
      </c>
      <c r="E46" s="9">
        <f t="shared" si="0"/>
        <v>100</v>
      </c>
      <c r="F46" s="9">
        <f t="shared" si="1"/>
        <v>0</v>
      </c>
    </row>
    <row r="47" spans="1:7" ht="17.25" customHeight="1" x14ac:dyDescent="0.25">
      <c r="A47" s="7">
        <v>2070500010</v>
      </c>
      <c r="B47" s="17" t="s">
        <v>323</v>
      </c>
      <c r="C47" s="213"/>
      <c r="D47" s="219"/>
      <c r="E47" s="9" t="e">
        <f t="shared" si="0"/>
        <v>#DIV/0!</v>
      </c>
      <c r="F47" s="9">
        <f t="shared" si="1"/>
        <v>0</v>
      </c>
    </row>
    <row r="48" spans="1:7" ht="21" hidden="1" customHeight="1" x14ac:dyDescent="0.25">
      <c r="A48" s="7">
        <v>2190500005</v>
      </c>
      <c r="B48" s="11" t="s">
        <v>23</v>
      </c>
      <c r="C48" s="214"/>
      <c r="D48" s="214"/>
      <c r="E48" s="5"/>
      <c r="F48" s="5">
        <f>SUM(D48-C48)</f>
        <v>0</v>
      </c>
    </row>
    <row r="49" spans="1:8" s="6" customFormat="1" ht="19.5" customHeight="1" x14ac:dyDescent="0.25">
      <c r="A49" s="3">
        <v>3000000000</v>
      </c>
      <c r="B49" s="13" t="s">
        <v>24</v>
      </c>
      <c r="C49" s="220">
        <v>0</v>
      </c>
      <c r="D49" s="21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 x14ac:dyDescent="0.25">
      <c r="A50" s="3"/>
      <c r="B50" s="4" t="s">
        <v>25</v>
      </c>
      <c r="C50" s="243">
        <f>C39+C40</f>
        <v>12995.164869999999</v>
      </c>
      <c r="D50" s="241">
        <f>D39+D40</f>
        <v>14657.81582</v>
      </c>
      <c r="E50" s="187">
        <f t="shared" si="0"/>
        <v>112.79438134592903</v>
      </c>
      <c r="F50" s="92">
        <f t="shared" si="1"/>
        <v>1662.6509500000011</v>
      </c>
      <c r="G50" s="146"/>
      <c r="H50" s="193"/>
    </row>
    <row r="51" spans="1:8" s="6" customFormat="1" x14ac:dyDescent="0.25">
      <c r="A51" s="3"/>
      <c r="B51" s="21" t="s">
        <v>299</v>
      </c>
      <c r="C51" s="92">
        <f>C50-C97</f>
        <v>-2080.3982800000031</v>
      </c>
      <c r="D51" s="92">
        <f>D50-D97</f>
        <v>-152.19908000000032</v>
      </c>
      <c r="E51" s="32"/>
      <c r="F51" s="32"/>
    </row>
    <row r="52" spans="1:8" x14ac:dyDescent="0.25">
      <c r="A52" s="23"/>
      <c r="B52" s="24"/>
      <c r="C52" s="208"/>
      <c r="D52" s="208"/>
      <c r="E52" s="26"/>
      <c r="F52" s="27"/>
    </row>
    <row r="53" spans="1:8" ht="45.75" customHeight="1" x14ac:dyDescent="0.25">
      <c r="A53" s="28" t="s">
        <v>0</v>
      </c>
      <c r="B53" s="28" t="s">
        <v>26</v>
      </c>
      <c r="C53" s="72" t="s">
        <v>394</v>
      </c>
      <c r="D53" s="399" t="s">
        <v>409</v>
      </c>
      <c r="E53" s="72" t="s">
        <v>2</v>
      </c>
      <c r="F53" s="73" t="s">
        <v>3</v>
      </c>
    </row>
    <row r="54" spans="1:8" x14ac:dyDescent="0.25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9.25" customHeight="1" x14ac:dyDescent="0.25">
      <c r="A55" s="30" t="s">
        <v>27</v>
      </c>
      <c r="B55" s="31" t="s">
        <v>28</v>
      </c>
      <c r="C55" s="32">
        <f>C56+C57+C58+C59+C60+C62+C61</f>
        <v>2356.4079999999999</v>
      </c>
      <c r="D55" s="32">
        <f>D56+D57+D58+D59+D60+D62+D61</f>
        <v>2283.46083</v>
      </c>
      <c r="E55" s="34">
        <f>SUM(D55/C55*100)</f>
        <v>96.904306469847342</v>
      </c>
      <c r="F55" s="34">
        <f>SUM(D55-C55)</f>
        <v>-72.947169999999915</v>
      </c>
    </row>
    <row r="56" spans="1:8" s="6" customFormat="1" ht="31.5" hidden="1" x14ac:dyDescent="0.25">
      <c r="A56" s="35" t="s">
        <v>29</v>
      </c>
      <c r="B56" s="36" t="s">
        <v>30</v>
      </c>
      <c r="C56" s="37"/>
      <c r="D56" s="37"/>
      <c r="E56" s="38"/>
      <c r="F56" s="38"/>
    </row>
    <row r="57" spans="1:8" ht="15.75" customHeight="1" x14ac:dyDescent="0.25">
      <c r="A57" s="35" t="s">
        <v>31</v>
      </c>
      <c r="B57" s="39" t="s">
        <v>32</v>
      </c>
      <c r="C57" s="37">
        <v>2223.308</v>
      </c>
      <c r="D57" s="37">
        <v>2161.1443300000001</v>
      </c>
      <c r="E57" s="38">
        <f t="shared" ref="E57:E69" si="3">SUM(D57/C57*100)</f>
        <v>97.204000975123563</v>
      </c>
      <c r="F57" s="38">
        <f t="shared" ref="F57:F69" si="4">SUM(D57-C57)</f>
        <v>-62.163669999999911</v>
      </c>
    </row>
    <row r="58" spans="1:8" ht="0.75" hidden="1" customHeight="1" x14ac:dyDescent="0.25">
      <c r="A58" s="35" t="s">
        <v>33</v>
      </c>
      <c r="B58" s="39" t="s">
        <v>34</v>
      </c>
      <c r="C58" s="37"/>
      <c r="D58" s="37"/>
      <c r="E58" s="38"/>
      <c r="F58" s="38">
        <f t="shared" si="4"/>
        <v>0</v>
      </c>
    </row>
    <row r="59" spans="1:8" ht="31.5" hidden="1" customHeight="1" x14ac:dyDescent="0.25">
      <c r="A59" s="35" t="s">
        <v>35</v>
      </c>
      <c r="B59" s="39" t="s">
        <v>36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8" hidden="1" customHeight="1" x14ac:dyDescent="0.25">
      <c r="A60" s="35" t="s">
        <v>37</v>
      </c>
      <c r="B60" s="39" t="s">
        <v>38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 x14ac:dyDescent="0.25">
      <c r="A61" s="35" t="s">
        <v>39</v>
      </c>
      <c r="B61" s="39" t="s">
        <v>40</v>
      </c>
      <c r="C61" s="37">
        <v>10</v>
      </c>
      <c r="D61" s="32">
        <v>0</v>
      </c>
      <c r="E61" s="38">
        <f t="shared" si="3"/>
        <v>0</v>
      </c>
      <c r="F61" s="38">
        <f t="shared" si="4"/>
        <v>-10</v>
      </c>
    </row>
    <row r="62" spans="1:8" ht="15" customHeight="1" x14ac:dyDescent="0.25">
      <c r="A62" s="35" t="s">
        <v>41</v>
      </c>
      <c r="B62" s="39" t="s">
        <v>42</v>
      </c>
      <c r="C62" s="37">
        <v>123.1</v>
      </c>
      <c r="D62" s="37">
        <v>122.3165</v>
      </c>
      <c r="E62" s="38">
        <f t="shared" si="3"/>
        <v>99.363525588952086</v>
      </c>
      <c r="F62" s="38">
        <f t="shared" si="4"/>
        <v>-0.78349999999998943</v>
      </c>
    </row>
    <row r="63" spans="1:8" s="6" customFormat="1" x14ac:dyDescent="0.25">
      <c r="A63" s="41" t="s">
        <v>43</v>
      </c>
      <c r="B63" s="42" t="s">
        <v>44</v>
      </c>
      <c r="C63" s="32">
        <f>C64</f>
        <v>280.75860999999998</v>
      </c>
      <c r="D63" s="32">
        <f>D64</f>
        <v>280.75860999999998</v>
      </c>
      <c r="E63" s="34">
        <f t="shared" si="3"/>
        <v>100</v>
      </c>
      <c r="F63" s="34">
        <f t="shared" si="4"/>
        <v>0</v>
      </c>
    </row>
    <row r="64" spans="1:8" x14ac:dyDescent="0.25">
      <c r="A64" s="43" t="s">
        <v>45</v>
      </c>
      <c r="B64" s="44" t="s">
        <v>46</v>
      </c>
      <c r="C64" s="37">
        <v>280.75860999999998</v>
      </c>
      <c r="D64" s="37">
        <v>280.75860999999998</v>
      </c>
      <c r="E64" s="38">
        <f t="shared" si="3"/>
        <v>100</v>
      </c>
      <c r="F64" s="38">
        <f t="shared" si="4"/>
        <v>0</v>
      </c>
    </row>
    <row r="65" spans="1:7" s="6" customFormat="1" ht="15.75" customHeight="1" x14ac:dyDescent="0.25">
      <c r="A65" s="30" t="s">
        <v>47</v>
      </c>
      <c r="B65" s="31" t="s">
        <v>48</v>
      </c>
      <c r="C65" s="32">
        <f>C68+C69+C70</f>
        <v>7.8</v>
      </c>
      <c r="D65" s="32">
        <f>SUM(D68+D69+D70)</f>
        <v>7.6313399999999998</v>
      </c>
      <c r="E65" s="34">
        <f t="shared" si="3"/>
        <v>97.837692307692308</v>
      </c>
      <c r="F65" s="34">
        <f t="shared" si="4"/>
        <v>-0.16866000000000003</v>
      </c>
    </row>
    <row r="66" spans="1:7" hidden="1" x14ac:dyDescent="0.25">
      <c r="A66" s="35" t="s">
        <v>49</v>
      </c>
      <c r="B66" s="39" t="s">
        <v>50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 x14ac:dyDescent="0.25">
      <c r="A67" s="4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 x14ac:dyDescent="0.25">
      <c r="A68" s="46" t="s">
        <v>53</v>
      </c>
      <c r="B68" s="47" t="s">
        <v>54</v>
      </c>
      <c r="C68" s="37">
        <v>3</v>
      </c>
      <c r="D68" s="37">
        <v>2.83134</v>
      </c>
      <c r="E68" s="34">
        <f t="shared" si="3"/>
        <v>94.378</v>
      </c>
      <c r="F68" s="34">
        <f t="shared" si="4"/>
        <v>-0.16866000000000003</v>
      </c>
    </row>
    <row r="69" spans="1:7" s="6" customFormat="1" ht="15.75" customHeight="1" x14ac:dyDescent="0.25">
      <c r="A69" s="46" t="s">
        <v>210</v>
      </c>
      <c r="B69" s="47" t="s">
        <v>211</v>
      </c>
      <c r="C69" s="37">
        <v>2.8</v>
      </c>
      <c r="D69" s="37">
        <v>2.8</v>
      </c>
      <c r="E69" s="38">
        <f t="shared" si="3"/>
        <v>100</v>
      </c>
      <c r="F69" s="38">
        <f t="shared" si="4"/>
        <v>0</v>
      </c>
    </row>
    <row r="70" spans="1:7" s="6" customFormat="1" ht="15.75" customHeight="1" x14ac:dyDescent="0.25">
      <c r="A70" s="46" t="s">
        <v>330</v>
      </c>
      <c r="B70" s="47" t="s">
        <v>384</v>
      </c>
      <c r="C70" s="37">
        <v>2</v>
      </c>
      <c r="D70" s="37">
        <v>2</v>
      </c>
      <c r="E70" s="38">
        <f>SUM(D70/C70*100)</f>
        <v>100</v>
      </c>
      <c r="F70" s="38">
        <f>SUM(D70-C70)</f>
        <v>0</v>
      </c>
    </row>
    <row r="71" spans="1:7" ht="15" customHeight="1" x14ac:dyDescent="0.25">
      <c r="A71" s="30" t="s">
        <v>55</v>
      </c>
      <c r="B71" s="31" t="s">
        <v>56</v>
      </c>
      <c r="C71" s="48">
        <f>SUM(C72:C75)</f>
        <v>5183.3580400000001</v>
      </c>
      <c r="D71" s="48">
        <f>SUM(D72:D75)</f>
        <v>5128.8054899999997</v>
      </c>
      <c r="E71" s="34">
        <f t="shared" ref="E71:E86" si="5">SUM(D71/C71*100)</f>
        <v>98.947544244888775</v>
      </c>
      <c r="F71" s="34">
        <f t="shared" ref="F71:F86" si="6">SUM(D71-C71)</f>
        <v>-54.552550000000338</v>
      </c>
    </row>
    <row r="72" spans="1:7" s="6" customFormat="1" ht="17.25" hidden="1" customHeight="1" x14ac:dyDescent="0.25">
      <c r="A72" s="35" t="s">
        <v>57</v>
      </c>
      <c r="B72" s="39" t="s">
        <v>58</v>
      </c>
      <c r="C72" s="49">
        <v>0</v>
      </c>
      <c r="D72" s="37">
        <v>0</v>
      </c>
      <c r="E72" s="38" t="e">
        <f t="shared" si="5"/>
        <v>#DIV/0!</v>
      </c>
      <c r="F72" s="38">
        <f t="shared" si="6"/>
        <v>0</v>
      </c>
      <c r="G72" s="50"/>
    </row>
    <row r="73" spans="1:7" ht="0.75" customHeight="1" x14ac:dyDescent="0.25">
      <c r="A73" s="35" t="s">
        <v>59</v>
      </c>
      <c r="B73" s="39" t="s">
        <v>60</v>
      </c>
      <c r="C73" s="49">
        <v>0</v>
      </c>
      <c r="D73" s="37">
        <v>0</v>
      </c>
      <c r="E73" s="38" t="e">
        <f t="shared" si="5"/>
        <v>#DIV/0!</v>
      </c>
      <c r="F73" s="38">
        <f t="shared" si="6"/>
        <v>0</v>
      </c>
    </row>
    <row r="74" spans="1:7" x14ac:dyDescent="0.25">
      <c r="A74" s="35" t="s">
        <v>61</v>
      </c>
      <c r="B74" s="39" t="s">
        <v>62</v>
      </c>
      <c r="C74" s="49">
        <v>5108.1980400000002</v>
      </c>
      <c r="D74" s="37">
        <v>5056.3054899999997</v>
      </c>
      <c r="E74" s="38">
        <f t="shared" si="5"/>
        <v>98.9841319856111</v>
      </c>
      <c r="F74" s="38">
        <f t="shared" si="6"/>
        <v>-51.892550000000483</v>
      </c>
    </row>
    <row r="75" spans="1:7" s="6" customFormat="1" x14ac:dyDescent="0.25">
      <c r="A75" s="35" t="s">
        <v>63</v>
      </c>
      <c r="B75" s="39" t="s">
        <v>64</v>
      </c>
      <c r="C75" s="49">
        <v>75.16</v>
      </c>
      <c r="D75" s="37">
        <v>72.5</v>
      </c>
      <c r="E75" s="38">
        <f t="shared" si="5"/>
        <v>96.460883448642903</v>
      </c>
      <c r="F75" s="38">
        <f t="shared" si="6"/>
        <v>-2.6599999999999966</v>
      </c>
    </row>
    <row r="76" spans="1:7" ht="17.25" customHeight="1" x14ac:dyDescent="0.25">
      <c r="A76" s="30" t="s">
        <v>65</v>
      </c>
      <c r="B76" s="31" t="s">
        <v>66</v>
      </c>
      <c r="C76" s="32">
        <f>SUM(C77:C79)</f>
        <v>4934.9865</v>
      </c>
      <c r="D76" s="32">
        <f>SUM(D77:D79)</f>
        <v>4797.1322</v>
      </c>
      <c r="E76" s="34">
        <f t="shared" si="5"/>
        <v>97.206592155824552</v>
      </c>
      <c r="F76" s="34">
        <f t="shared" si="6"/>
        <v>-137.85429999999997</v>
      </c>
    </row>
    <row r="77" spans="1:7" ht="0.75" hidden="1" customHeight="1" x14ac:dyDescent="0.25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ht="14.25" customHeight="1" x14ac:dyDescent="0.25">
      <c r="A78" s="35" t="s">
        <v>69</v>
      </c>
      <c r="B78" s="51" t="s">
        <v>70</v>
      </c>
      <c r="C78" s="37">
        <v>3080.0614999999998</v>
      </c>
      <c r="D78" s="37">
        <v>3042.5770900000002</v>
      </c>
      <c r="E78" s="38">
        <f t="shared" si="5"/>
        <v>98.782998001825632</v>
      </c>
      <c r="F78" s="38">
        <f t="shared" si="6"/>
        <v>-37.484409999999571</v>
      </c>
    </row>
    <row r="79" spans="1:7" s="6" customFormat="1" x14ac:dyDescent="0.25">
      <c r="A79" s="35" t="s">
        <v>71</v>
      </c>
      <c r="B79" s="39" t="s">
        <v>72</v>
      </c>
      <c r="C79" s="37">
        <v>1854.925</v>
      </c>
      <c r="D79" s="37">
        <v>1754.55511</v>
      </c>
      <c r="E79" s="38">
        <f t="shared" si="5"/>
        <v>94.589005485396981</v>
      </c>
      <c r="F79" s="38">
        <f t="shared" si="6"/>
        <v>-100.36988999999994</v>
      </c>
    </row>
    <row r="80" spans="1:7" x14ac:dyDescent="0.25">
      <c r="A80" s="30" t="s">
        <v>81</v>
      </c>
      <c r="B80" s="31" t="s">
        <v>82</v>
      </c>
      <c r="C80" s="32">
        <f>C81</f>
        <v>2312.252</v>
      </c>
      <c r="D80" s="32">
        <f>D81</f>
        <v>2312.2264300000002</v>
      </c>
      <c r="E80" s="34">
        <f t="shared" si="5"/>
        <v>99.998894151675515</v>
      </c>
      <c r="F80" s="34">
        <f t="shared" si="6"/>
        <v>-2.5569999999788706E-2</v>
      </c>
    </row>
    <row r="81" spans="1:6" s="6" customFormat="1" ht="15" customHeight="1" x14ac:dyDescent="0.25">
      <c r="A81" s="35" t="s">
        <v>83</v>
      </c>
      <c r="B81" s="39" t="s">
        <v>225</v>
      </c>
      <c r="C81" s="37">
        <v>2312.252</v>
      </c>
      <c r="D81" s="37">
        <v>2312.2264300000002</v>
      </c>
      <c r="E81" s="38">
        <f t="shared" si="5"/>
        <v>99.998894151675515</v>
      </c>
      <c r="F81" s="38">
        <f t="shared" si="6"/>
        <v>-2.5569999999788706E-2</v>
      </c>
    </row>
    <row r="82" spans="1:6" ht="20.25" hidden="1" customHeight="1" x14ac:dyDescent="0.25">
      <c r="A82" s="52">
        <v>1000</v>
      </c>
      <c r="B82" s="31" t="s">
        <v>84</v>
      </c>
      <c r="C82" s="32">
        <f>SUM(C83:C86)</f>
        <v>0</v>
      </c>
      <c r="D82" s="32">
        <f>SUM(D83:D86)</f>
        <v>0</v>
      </c>
      <c r="E82" s="34" t="e">
        <f t="shared" si="5"/>
        <v>#DIV/0!</v>
      </c>
      <c r="F82" s="34">
        <f t="shared" si="6"/>
        <v>0</v>
      </c>
    </row>
    <row r="83" spans="1:6" ht="18" hidden="1" customHeight="1" x14ac:dyDescent="0.25">
      <c r="A83" s="53">
        <v>1001</v>
      </c>
      <c r="B83" s="54" t="s">
        <v>85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 x14ac:dyDescent="0.25">
      <c r="A84" s="53">
        <v>1003</v>
      </c>
      <c r="B84" s="54" t="s">
        <v>86</v>
      </c>
      <c r="C84" s="37">
        <v>0</v>
      </c>
      <c r="D84" s="37">
        <v>0</v>
      </c>
      <c r="E84" s="38" t="e">
        <f t="shared" si="5"/>
        <v>#DIV/0!</v>
      </c>
      <c r="F84" s="38">
        <f t="shared" si="6"/>
        <v>0</v>
      </c>
    </row>
    <row r="85" spans="1:6" ht="17.25" hidden="1" customHeight="1" x14ac:dyDescent="0.25">
      <c r="A85" s="53">
        <v>1004</v>
      </c>
      <c r="B85" s="54" t="s">
        <v>87</v>
      </c>
      <c r="C85" s="37">
        <v>0</v>
      </c>
      <c r="D85" s="55">
        <v>0</v>
      </c>
      <c r="E85" s="38" t="e">
        <f t="shared" si="5"/>
        <v>#DIV/0!</v>
      </c>
      <c r="F85" s="38">
        <f t="shared" si="6"/>
        <v>0</v>
      </c>
    </row>
    <row r="86" spans="1:6" ht="21.75" hidden="1" customHeight="1" x14ac:dyDescent="0.25">
      <c r="A86" s="35" t="s">
        <v>88</v>
      </c>
      <c r="B86" s="39" t="s">
        <v>89</v>
      </c>
      <c r="C86" s="37">
        <v>0</v>
      </c>
      <c r="D86" s="37"/>
      <c r="E86" s="38" t="e">
        <f t="shared" si="5"/>
        <v>#DIV/0!</v>
      </c>
      <c r="F86" s="38">
        <f t="shared" si="6"/>
        <v>0</v>
      </c>
    </row>
    <row r="87" spans="1:6" x14ac:dyDescent="0.25">
      <c r="A87" s="30" t="s">
        <v>90</v>
      </c>
      <c r="B87" s="31" t="s">
        <v>91</v>
      </c>
      <c r="C87" s="32">
        <f>C88+C89+C90+C91+C92</f>
        <v>0</v>
      </c>
      <c r="D87" s="32">
        <f>D88+D89+D90+D91+D92</f>
        <v>0</v>
      </c>
      <c r="E87" s="38" t="e">
        <f t="shared" ref="E87:E97" si="7">SUM(D87/C87*100)</f>
        <v>#DIV/0!</v>
      </c>
      <c r="F87" s="22">
        <f>F88+F89+F90+F91+F92</f>
        <v>0</v>
      </c>
    </row>
    <row r="88" spans="1:6" ht="15.75" customHeight="1" x14ac:dyDescent="0.25">
      <c r="A88" s="35" t="s">
        <v>92</v>
      </c>
      <c r="B88" s="39" t="s">
        <v>93</v>
      </c>
      <c r="C88" s="37">
        <v>0</v>
      </c>
      <c r="D88" s="37">
        <v>0</v>
      </c>
      <c r="E88" s="38" t="e">
        <f t="shared" si="7"/>
        <v>#DIV/0!</v>
      </c>
      <c r="F88" s="38">
        <f>SUM(D88-C88)</f>
        <v>0</v>
      </c>
    </row>
    <row r="89" spans="1:6" ht="15" hidden="1" customHeight="1" x14ac:dyDescent="0.25">
      <c r="A89" s="35" t="s">
        <v>94</v>
      </c>
      <c r="B89" s="39" t="s">
        <v>95</v>
      </c>
      <c r="C89" s="37"/>
      <c r="D89" s="37"/>
      <c r="E89" s="38" t="e">
        <f t="shared" si="7"/>
        <v>#DIV/0!</v>
      </c>
      <c r="F89" s="38">
        <f>SUM(D89-C89)</f>
        <v>0</v>
      </c>
    </row>
    <row r="90" spans="1:6" ht="15" hidden="1" customHeight="1" x14ac:dyDescent="0.25">
      <c r="A90" s="35" t="s">
        <v>96</v>
      </c>
      <c r="B90" s="39" t="s">
        <v>97</v>
      </c>
      <c r="C90" s="37"/>
      <c r="D90" s="37"/>
      <c r="E90" s="38" t="e">
        <f t="shared" si="7"/>
        <v>#DIV/0!</v>
      </c>
      <c r="F90" s="38"/>
    </row>
    <row r="91" spans="1:6" ht="15" hidden="1" customHeight="1" x14ac:dyDescent="0.25">
      <c r="A91" s="35" t="s">
        <v>98</v>
      </c>
      <c r="B91" s="39" t="s">
        <v>99</v>
      </c>
      <c r="C91" s="37"/>
      <c r="D91" s="37"/>
      <c r="E91" s="38" t="e">
        <f t="shared" si="7"/>
        <v>#DIV/0!</v>
      </c>
      <c r="F91" s="38"/>
    </row>
    <row r="92" spans="1:6" s="6" customFormat="1" ht="15" hidden="1" customHeight="1" x14ac:dyDescent="0.25">
      <c r="A92" s="35" t="s">
        <v>100</v>
      </c>
      <c r="B92" s="39" t="s">
        <v>101</v>
      </c>
      <c r="C92" s="37"/>
      <c r="D92" s="37"/>
      <c r="E92" s="38" t="e">
        <f t="shared" si="7"/>
        <v>#DIV/0!</v>
      </c>
      <c r="F92" s="38"/>
    </row>
    <row r="93" spans="1:6" ht="18.75" hidden="1" customHeight="1" x14ac:dyDescent="0.25">
      <c r="A93" s="52">
        <v>1400</v>
      </c>
      <c r="B93" s="56" t="s">
        <v>109</v>
      </c>
      <c r="C93" s="48">
        <f>C94+C95+C96</f>
        <v>0</v>
      </c>
      <c r="D93" s="48">
        <f>SUM(D94:D96)</f>
        <v>0</v>
      </c>
      <c r="E93" s="34" t="e">
        <f t="shared" si="7"/>
        <v>#DIV/0!</v>
      </c>
      <c r="F93" s="34">
        <f>SUM(D93-C93)</f>
        <v>0</v>
      </c>
    </row>
    <row r="94" spans="1:6" ht="18" hidden="1" customHeight="1" x14ac:dyDescent="0.25">
      <c r="A94" s="53">
        <v>1401</v>
      </c>
      <c r="B94" s="54" t="s">
        <v>110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ht="18" hidden="1" customHeight="1" x14ac:dyDescent="0.25">
      <c r="A95" s="53">
        <v>1402</v>
      </c>
      <c r="B95" s="54" t="s">
        <v>111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s="6" customFormat="1" ht="18" hidden="1" customHeight="1" x14ac:dyDescent="0.25">
      <c r="A96" s="53">
        <v>1403</v>
      </c>
      <c r="B96" s="54" t="s">
        <v>112</v>
      </c>
      <c r="C96" s="49"/>
      <c r="D96" s="37"/>
      <c r="E96" s="38" t="e">
        <f t="shared" si="7"/>
        <v>#DIV/0!</v>
      </c>
      <c r="F96" s="38">
        <f>SUM(D96-C96)</f>
        <v>0</v>
      </c>
    </row>
    <row r="97" spans="1:6" ht="15" customHeight="1" x14ac:dyDescent="0.25">
      <c r="A97" s="52"/>
      <c r="B97" s="57" t="s">
        <v>113</v>
      </c>
      <c r="C97" s="243">
        <f>C55+C63+C65+C71+C76+C80+C82+C87+C93</f>
        <v>15075.563150000002</v>
      </c>
      <c r="D97" s="243">
        <f>D55+D63+D65+D71+D76+D80+D82+D87+D93</f>
        <v>14810.0149</v>
      </c>
      <c r="E97" s="34">
        <f t="shared" si="7"/>
        <v>98.238551705446568</v>
      </c>
      <c r="F97" s="34">
        <f>SUM(D97-C97)</f>
        <v>-265.54825000000164</v>
      </c>
    </row>
    <row r="98" spans="1:6" s="65" customFormat="1" ht="22.5" customHeight="1" x14ac:dyDescent="0.2">
      <c r="A98" s="63" t="s">
        <v>114</v>
      </c>
      <c r="B98" s="63"/>
      <c r="C98" s="178"/>
      <c r="D98" s="178"/>
    </row>
    <row r="99" spans="1:6" ht="16.5" customHeight="1" x14ac:dyDescent="0.25">
      <c r="A99" s="66" t="s">
        <v>115</v>
      </c>
      <c r="B99" s="66"/>
      <c r="C99" s="178" t="s">
        <v>116</v>
      </c>
      <c r="D99" s="178"/>
      <c r="E99" s="65"/>
      <c r="F99" s="65"/>
    </row>
    <row r="100" spans="1:6" ht="20.25" customHeight="1" x14ac:dyDescent="0.25">
      <c r="C100" s="118"/>
    </row>
    <row r="101" spans="1:6" ht="13.5" customHeight="1" x14ac:dyDescent="0.25"/>
    <row r="102" spans="1:6" ht="5.25" customHeight="1" x14ac:dyDescent="0.25"/>
    <row r="142" hidden="1" x14ac:dyDescent="0.25"/>
  </sheetData>
  <customSheetViews>
    <customSheetView guid="{4D5E6ACC-9055-4DE9-8C20-9052F3C35D19}" scale="70" showPageBreaks="1" hiddenRows="1" state="hidden" view="pageBreakPreview" topLeftCell="A25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C539BE6-C8E0-453F-AB5E-9E58094195EA}" scale="70" showPageBreaks="1" hiddenRows="1" view="pageBreakPreview" topLeftCell="A25">
      <selection activeCell="D88" sqref="D88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3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hiddenRows="1">
      <selection activeCell="A70" sqref="A70:XFD70"/>
      <pageMargins left="0.7" right="0.7" top="0.75" bottom="0.75" header="0.3" footer="0.3"/>
      <pageSetup paperSize="9" scale="54" orientation="portrait" r:id="rId5"/>
    </customSheetView>
    <customSheetView guid="{B31C8DB7-3E78-4144-A6B5-8DE36DE63F0E}" hiddenRows="1" topLeftCell="A15">
      <selection activeCell="D31" sqref="D31"/>
      <pageMargins left="0.7" right="0.7" top="0.75" bottom="0.75" header="0.3" footer="0.3"/>
      <pageSetup paperSize="9" scale="54" orientation="portrait" r:id="rId6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7"/>
    </customSheetView>
    <customSheetView guid="{B30CE22D-C12F-4E12-8BB9-3AAE0A6991CC}" scale="70" showPageBreaks="1" hiddenRows="1" view="pageBreakPreview">
      <selection activeCell="C46" sqref="C46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2" orientation="portrait" r:id="rId9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10"/>
    </customSheetView>
    <customSheetView guid="{F85EE840-0C31-454A-8951-832C2E9E0600}" scale="70" showPageBreaks="1" hiddenRows="1" state="hidden" view="pageBreakPreview" topLeftCell="A40">
      <selection activeCell="C97" sqref="C97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  <customSheetView guid="{F1E84C44-1ACD-474A-BDE0-C7088DB6C590}" scale="70" showPageBreaks="1" hiddenRows="1" state="hidden" view="pageBreakPreview" topLeftCell="A25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12"/>
    </customSheetView>
    <customSheetView guid="{61528DAC-5C4C-48F4-ADE2-8A724B05A086}" scale="70" showPageBreaks="1" hiddenRows="1" state="hidden" view="pageBreakPreview" topLeftCell="A25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G142"/>
  <sheetViews>
    <sheetView view="pageBreakPreview" topLeftCell="A31" zoomScale="70" zoomScaleNormal="100" zoomScaleSheetLayoutView="70" workbookViewId="0">
      <selection activeCell="C90" sqref="C90"/>
    </sheetView>
  </sheetViews>
  <sheetFormatPr defaultRowHeight="15.75" x14ac:dyDescent="0.2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x14ac:dyDescent="0.25">
      <c r="A1" s="599" t="s">
        <v>421</v>
      </c>
      <c r="B1" s="599"/>
      <c r="C1" s="599"/>
      <c r="D1" s="599"/>
      <c r="E1" s="599"/>
      <c r="F1" s="599"/>
    </row>
    <row r="2" spans="1:6" x14ac:dyDescent="0.25">
      <c r="A2" s="599"/>
      <c r="B2" s="599"/>
      <c r="C2" s="599"/>
      <c r="D2" s="599"/>
      <c r="E2" s="599"/>
      <c r="F2" s="599"/>
    </row>
    <row r="3" spans="1:6" ht="63" x14ac:dyDescent="0.25">
      <c r="A3" s="2" t="s">
        <v>0</v>
      </c>
      <c r="B3" s="2" t="s">
        <v>1</v>
      </c>
      <c r="C3" s="72" t="s">
        <v>394</v>
      </c>
      <c r="D3" s="399" t="s">
        <v>409</v>
      </c>
      <c r="E3" s="72" t="s">
        <v>2</v>
      </c>
      <c r="F3" s="73" t="s">
        <v>3</v>
      </c>
    </row>
    <row r="4" spans="1:6" s="6" customFormat="1" x14ac:dyDescent="0.25">
      <c r="A4" s="3"/>
      <c r="B4" s="4" t="s">
        <v>4</v>
      </c>
      <c r="C4" s="5">
        <f>C5+C12+C14+C17+C20+C7</f>
        <v>5784.1004000000003</v>
      </c>
      <c r="D4" s="5">
        <f>D5+D12+D14+D7+D20+D17</f>
        <v>5365.8486599999997</v>
      </c>
      <c r="E4" s="5">
        <f>SUM(D4/C4*100)</f>
        <v>92.76894052530622</v>
      </c>
      <c r="F4" s="5">
        <f>SUM(D4-C4)</f>
        <v>-418.25174000000061</v>
      </c>
    </row>
    <row r="5" spans="1:6" s="6" customFormat="1" x14ac:dyDescent="0.25">
      <c r="A5" s="68">
        <v>1010000000</v>
      </c>
      <c r="B5" s="67" t="s">
        <v>5</v>
      </c>
      <c r="C5" s="5">
        <f>C6</f>
        <v>2181</v>
      </c>
      <c r="D5" s="5">
        <f>D6</f>
        <v>2334.3494999999998</v>
      </c>
      <c r="E5" s="5">
        <f t="shared" ref="E5:E51" si="0">SUM(D5/C5*100)</f>
        <v>107.03115543328747</v>
      </c>
      <c r="F5" s="5">
        <f t="shared" ref="F5:F51" si="1">SUM(D5-C5)</f>
        <v>153.34949999999981</v>
      </c>
    </row>
    <row r="6" spans="1:6" x14ac:dyDescent="0.25">
      <c r="A6" s="7">
        <v>1010200001</v>
      </c>
      <c r="B6" s="8" t="s">
        <v>220</v>
      </c>
      <c r="C6" s="90">
        <v>2181</v>
      </c>
      <c r="D6" s="10">
        <v>2334.3494999999998</v>
      </c>
      <c r="E6" s="9">
        <f t="shared" ref="E6:E11" si="2">SUM(D6/C6*100)</f>
        <v>107.03115543328747</v>
      </c>
      <c r="F6" s="9">
        <f t="shared" si="1"/>
        <v>153.34949999999981</v>
      </c>
    </row>
    <row r="7" spans="1:6" x14ac:dyDescent="0.25">
      <c r="A7" s="3">
        <v>1030200001</v>
      </c>
      <c r="B7" s="13" t="s">
        <v>258</v>
      </c>
      <c r="C7" s="5">
        <f>C8+C10+C9</f>
        <v>557.10040000000004</v>
      </c>
      <c r="D7" s="5">
        <f>D8+D9+D10+D11</f>
        <v>540.43851999999993</v>
      </c>
      <c r="E7" s="9">
        <f t="shared" si="2"/>
        <v>97.00917823789031</v>
      </c>
      <c r="F7" s="9">
        <f t="shared" si="1"/>
        <v>-16.66188000000011</v>
      </c>
    </row>
    <row r="8" spans="1:6" x14ac:dyDescent="0.25">
      <c r="A8" s="7">
        <v>1030223001</v>
      </c>
      <c r="B8" s="8" t="s">
        <v>261</v>
      </c>
      <c r="C8" s="9">
        <v>270.49939999999998</v>
      </c>
      <c r="D8" s="10">
        <v>270.92563000000001</v>
      </c>
      <c r="E8" s="9">
        <f t="shared" si="2"/>
        <v>100.15757151402185</v>
      </c>
      <c r="F8" s="9">
        <f t="shared" si="1"/>
        <v>0.42623000000003231</v>
      </c>
    </row>
    <row r="9" spans="1:6" x14ac:dyDescent="0.25">
      <c r="A9" s="7">
        <v>1030224001</v>
      </c>
      <c r="B9" s="8" t="s">
        <v>267</v>
      </c>
      <c r="C9" s="9">
        <v>1.8280000000000001</v>
      </c>
      <c r="D9" s="10">
        <v>1.4634100000000001</v>
      </c>
      <c r="E9" s="9">
        <f t="shared" si="2"/>
        <v>80.055251641137858</v>
      </c>
      <c r="F9" s="9">
        <f t="shared" si="1"/>
        <v>-0.36458999999999997</v>
      </c>
    </row>
    <row r="10" spans="1:6" x14ac:dyDescent="0.25">
      <c r="A10" s="7">
        <v>1030225001</v>
      </c>
      <c r="B10" s="8" t="s">
        <v>260</v>
      </c>
      <c r="C10" s="9">
        <v>284.77300000000002</v>
      </c>
      <c r="D10" s="10">
        <v>299.13249999999999</v>
      </c>
      <c r="E10" s="9">
        <f t="shared" si="2"/>
        <v>105.04243730971685</v>
      </c>
      <c r="F10" s="9">
        <f t="shared" si="1"/>
        <v>14.359499999999969</v>
      </c>
    </row>
    <row r="11" spans="1:6" x14ac:dyDescent="0.25">
      <c r="A11" s="7">
        <v>1030226001</v>
      </c>
      <c r="B11" s="8" t="s">
        <v>269</v>
      </c>
      <c r="C11" s="9">
        <v>0</v>
      </c>
      <c r="D11" s="10">
        <v>-31.083020000000001</v>
      </c>
      <c r="E11" s="9" t="e">
        <f t="shared" si="2"/>
        <v>#DIV/0!</v>
      </c>
      <c r="F11" s="9">
        <f t="shared" si="1"/>
        <v>-31.083020000000001</v>
      </c>
    </row>
    <row r="12" spans="1:6" s="6" customFormat="1" ht="15" customHeight="1" x14ac:dyDescent="0.25">
      <c r="A12" s="68">
        <v>1050000000</v>
      </c>
      <c r="B12" s="67" t="s">
        <v>6</v>
      </c>
      <c r="C12" s="5">
        <f>SUM(C13:C13)</f>
        <v>80</v>
      </c>
      <c r="D12" s="5">
        <f>SUM(D13:D13)</f>
        <v>53.986499999999999</v>
      </c>
      <c r="E12" s="5">
        <f t="shared" si="0"/>
        <v>67.483125000000001</v>
      </c>
      <c r="F12" s="5">
        <f t="shared" si="1"/>
        <v>-26.013500000000001</v>
      </c>
    </row>
    <row r="13" spans="1:6" ht="15.75" customHeight="1" x14ac:dyDescent="0.25">
      <c r="A13" s="7">
        <v>1050300000</v>
      </c>
      <c r="B13" s="11" t="s">
        <v>221</v>
      </c>
      <c r="C13" s="12">
        <v>80</v>
      </c>
      <c r="D13" s="10">
        <v>53.986499999999999</v>
      </c>
      <c r="E13" s="9">
        <f t="shared" si="0"/>
        <v>67.483125000000001</v>
      </c>
      <c r="F13" s="9">
        <f t="shared" si="1"/>
        <v>-26.013500000000001</v>
      </c>
    </row>
    <row r="14" spans="1:6" s="6" customFormat="1" ht="15.75" customHeight="1" x14ac:dyDescent="0.25">
      <c r="A14" s="68">
        <v>1060000000</v>
      </c>
      <c r="B14" s="67" t="s">
        <v>129</v>
      </c>
      <c r="C14" s="5">
        <f>C15+C16</f>
        <v>2966</v>
      </c>
      <c r="D14" s="5">
        <f>D15+D16</f>
        <v>2437.0741399999997</v>
      </c>
      <c r="E14" s="5">
        <f t="shared" si="0"/>
        <v>82.16703101820633</v>
      </c>
      <c r="F14" s="5">
        <f t="shared" si="1"/>
        <v>-528.92586000000028</v>
      </c>
    </row>
    <row r="15" spans="1:6" s="6" customFormat="1" ht="15" customHeight="1" x14ac:dyDescent="0.25">
      <c r="A15" s="7">
        <v>1060100000</v>
      </c>
      <c r="B15" s="11" t="s">
        <v>238</v>
      </c>
      <c r="C15" s="9">
        <v>1266</v>
      </c>
      <c r="D15" s="10">
        <v>1456.0142499999999</v>
      </c>
      <c r="E15" s="9">
        <f t="shared" si="0"/>
        <v>115.00902448657186</v>
      </c>
      <c r="F15" s="9">
        <f>SUM(D15-C15)</f>
        <v>190.01424999999995</v>
      </c>
    </row>
    <row r="16" spans="1:6" ht="17.25" customHeight="1" x14ac:dyDescent="0.25">
      <c r="A16" s="7">
        <v>1060600000</v>
      </c>
      <c r="B16" s="11" t="s">
        <v>7</v>
      </c>
      <c r="C16" s="9">
        <v>1700</v>
      </c>
      <c r="D16" s="10">
        <v>981.05989</v>
      </c>
      <c r="E16" s="9">
        <f t="shared" si="0"/>
        <v>57.709405294117644</v>
      </c>
      <c r="F16" s="9">
        <f t="shared" si="1"/>
        <v>-718.94011</v>
      </c>
    </row>
    <row r="17" spans="1:6" s="6" customFormat="1" ht="0.75" hidden="1" customHeight="1" x14ac:dyDescent="0.25">
      <c r="A17" s="3">
        <v>1080000000</v>
      </c>
      <c r="B17" s="4" t="s">
        <v>10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 x14ac:dyDescent="0.25">
      <c r="A18" s="7">
        <v>1080400001</v>
      </c>
      <c r="B18" s="8" t="s">
        <v>219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 x14ac:dyDescent="0.25">
      <c r="A19" s="7">
        <v>1080714001</v>
      </c>
      <c r="B19" s="8" t="s">
        <v>11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 x14ac:dyDescent="0.25">
      <c r="A20" s="68">
        <v>1090000000</v>
      </c>
      <c r="B20" s="69" t="s">
        <v>117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 x14ac:dyDescent="0.25">
      <c r="A21" s="7">
        <v>1090100000</v>
      </c>
      <c r="B21" s="8" t="s">
        <v>118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 x14ac:dyDescent="0.25">
      <c r="A22" s="7">
        <v>1090400000</v>
      </c>
      <c r="B22" s="8" t="s">
        <v>224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 x14ac:dyDescent="0.25">
      <c r="A23" s="7">
        <v>1090600000</v>
      </c>
      <c r="B23" s="8" t="s">
        <v>120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 x14ac:dyDescent="0.25">
      <c r="A24" s="7">
        <v>1090700000</v>
      </c>
      <c r="B24" s="8" t="s">
        <v>121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 x14ac:dyDescent="0.25">
      <c r="A25" s="3"/>
      <c r="B25" s="4" t="s">
        <v>12</v>
      </c>
      <c r="C25" s="5">
        <f>C26+C29+C31+C34+C36</f>
        <v>210.66771</v>
      </c>
      <c r="D25" s="5">
        <f>D26+D29+D31+D34+D36</f>
        <v>760.69497999999999</v>
      </c>
      <c r="E25" s="5">
        <f t="shared" si="0"/>
        <v>361.08760094273583</v>
      </c>
      <c r="F25" s="5">
        <f t="shared" si="1"/>
        <v>550.02727000000004</v>
      </c>
    </row>
    <row r="26" spans="1:6" s="6" customFormat="1" ht="32.25" customHeight="1" x14ac:dyDescent="0.25">
      <c r="A26" s="68">
        <v>1110000000</v>
      </c>
      <c r="B26" s="69" t="s">
        <v>122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hidden="1" customHeight="1" x14ac:dyDescent="0.25">
      <c r="A27" s="16">
        <v>1110502501</v>
      </c>
      <c r="B27" s="17" t="s">
        <v>217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x14ac:dyDescent="0.25">
      <c r="A28" s="7">
        <v>1110503505</v>
      </c>
      <c r="B28" s="11" t="s">
        <v>216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 x14ac:dyDescent="0.25">
      <c r="A29" s="68">
        <v>1130000000</v>
      </c>
      <c r="B29" s="69" t="s">
        <v>124</v>
      </c>
      <c r="C29" s="5">
        <f>C30</f>
        <v>0</v>
      </c>
      <c r="D29" s="5">
        <f>D30</f>
        <v>70</v>
      </c>
      <c r="E29" s="5" t="e">
        <f t="shared" si="0"/>
        <v>#DIV/0!</v>
      </c>
      <c r="F29" s="5">
        <f t="shared" si="1"/>
        <v>70</v>
      </c>
    </row>
    <row r="30" spans="1:6" ht="18" customHeight="1" x14ac:dyDescent="0.25">
      <c r="A30" s="7">
        <v>1130299000</v>
      </c>
      <c r="B30" s="8" t="s">
        <v>398</v>
      </c>
      <c r="C30" s="9">
        <v>0</v>
      </c>
      <c r="D30" s="10">
        <v>70</v>
      </c>
      <c r="E30" s="9" t="e">
        <f t="shared" si="0"/>
        <v>#DIV/0!</v>
      </c>
      <c r="F30" s="9">
        <f t="shared" si="1"/>
        <v>70</v>
      </c>
    </row>
    <row r="31" spans="1:6" ht="17.25" customHeight="1" x14ac:dyDescent="0.25">
      <c r="A31" s="70">
        <v>1140000000</v>
      </c>
      <c r="B31" s="71" t="s">
        <v>125</v>
      </c>
      <c r="C31" s="5">
        <f>C32+C33</f>
        <v>0</v>
      </c>
      <c r="D31" s="5">
        <f>D32+D33</f>
        <v>15.811</v>
      </c>
      <c r="E31" s="5" t="e">
        <f t="shared" si="0"/>
        <v>#DIV/0!</v>
      </c>
      <c r="F31" s="5">
        <f t="shared" si="1"/>
        <v>15.811</v>
      </c>
    </row>
    <row r="32" spans="1:6" ht="17.25" customHeight="1" x14ac:dyDescent="0.25">
      <c r="A32" s="16">
        <v>1140200000</v>
      </c>
      <c r="B32" s="18" t="s">
        <v>126</v>
      </c>
      <c r="C32" s="9">
        <v>0</v>
      </c>
      <c r="D32" s="10">
        <v>15.811</v>
      </c>
      <c r="E32" s="9" t="e">
        <f t="shared" si="0"/>
        <v>#DIV/0!</v>
      </c>
      <c r="F32" s="9">
        <f t="shared" si="1"/>
        <v>15.811</v>
      </c>
    </row>
    <row r="33" spans="1:7" ht="18" customHeight="1" x14ac:dyDescent="0.25">
      <c r="A33" s="7">
        <v>1140600000</v>
      </c>
      <c r="B33" s="8" t="s">
        <v>214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x14ac:dyDescent="0.25">
      <c r="A34" s="3">
        <v>1160000000</v>
      </c>
      <c r="B34" s="13" t="s">
        <v>236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 x14ac:dyDescent="0.25">
      <c r="A35" s="7">
        <v>1163305010</v>
      </c>
      <c r="B35" s="8" t="s">
        <v>251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 x14ac:dyDescent="0.25">
      <c r="A36" s="3">
        <v>1170000000</v>
      </c>
      <c r="B36" s="13" t="s">
        <v>128</v>
      </c>
      <c r="C36" s="5">
        <f>C37+C38</f>
        <v>210.66771</v>
      </c>
      <c r="D36" s="5">
        <f>D37+D38</f>
        <v>674.88397999999995</v>
      </c>
      <c r="E36" s="5">
        <v>0</v>
      </c>
      <c r="F36" s="5">
        <f t="shared" si="1"/>
        <v>464.21626999999995</v>
      </c>
    </row>
    <row r="37" spans="1:7" ht="15" customHeight="1" x14ac:dyDescent="0.25">
      <c r="A37" s="7">
        <v>1170105005</v>
      </c>
      <c r="B37" s="8" t="s">
        <v>15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 x14ac:dyDescent="0.25">
      <c r="A38" s="7">
        <v>1171503010</v>
      </c>
      <c r="B38" s="11" t="s">
        <v>406</v>
      </c>
      <c r="C38" s="9">
        <v>210.66771</v>
      </c>
      <c r="D38" s="10">
        <v>674.88397999999995</v>
      </c>
      <c r="E38" s="9">
        <v>0</v>
      </c>
      <c r="F38" s="9">
        <f t="shared" si="1"/>
        <v>464.21626999999995</v>
      </c>
    </row>
    <row r="39" spans="1:7" s="6" customFormat="1" ht="18" customHeight="1" x14ac:dyDescent="0.25">
      <c r="A39" s="3">
        <v>1000000000</v>
      </c>
      <c r="B39" s="4" t="s">
        <v>16</v>
      </c>
      <c r="C39" s="125">
        <f>SUM(C4,C25)</f>
        <v>5994.76811</v>
      </c>
      <c r="D39" s="125">
        <f>D4+D25</f>
        <v>6126.5436399999999</v>
      </c>
      <c r="E39" s="5">
        <f t="shared" si="0"/>
        <v>102.19817560215854</v>
      </c>
      <c r="F39" s="5">
        <f t="shared" si="1"/>
        <v>131.77552999999989</v>
      </c>
    </row>
    <row r="40" spans="1:7" s="6" customFormat="1" x14ac:dyDescent="0.25">
      <c r="A40" s="3">
        <v>2000000000</v>
      </c>
      <c r="B40" s="4" t="s">
        <v>17</v>
      </c>
      <c r="C40" s="224">
        <f>C41+C43+C45+C46+C47+C49+C42+C44+C48</f>
        <v>23611.258590000005</v>
      </c>
      <c r="D40" s="397">
        <f>D41+D43+D45+D46+D47+D49+D42+D48</f>
        <v>11525.579339999998</v>
      </c>
      <c r="E40" s="5">
        <f t="shared" si="0"/>
        <v>48.813913481432905</v>
      </c>
      <c r="F40" s="5">
        <f t="shared" si="1"/>
        <v>-12085.679250000007</v>
      </c>
      <c r="G40" s="19"/>
    </row>
    <row r="41" spans="1:7" ht="17.25" customHeight="1" x14ac:dyDescent="0.25">
      <c r="A41" s="16">
        <v>2021000000</v>
      </c>
      <c r="B41" s="17" t="s">
        <v>18</v>
      </c>
      <c r="C41" s="12">
        <v>8286.2999999999993</v>
      </c>
      <c r="D41" s="20">
        <v>8286.2999999999993</v>
      </c>
      <c r="E41" s="9">
        <f t="shared" si="0"/>
        <v>100</v>
      </c>
      <c r="F41" s="9">
        <f t="shared" si="1"/>
        <v>0</v>
      </c>
    </row>
    <row r="42" spans="1:7" ht="15" customHeight="1" x14ac:dyDescent="0.25">
      <c r="A42" s="16">
        <v>2021500210</v>
      </c>
      <c r="B42" s="17" t="s">
        <v>223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17.25" customHeight="1" x14ac:dyDescent="0.25">
      <c r="A43" s="16">
        <v>2022000000</v>
      </c>
      <c r="B43" s="17" t="s">
        <v>19</v>
      </c>
      <c r="C43" s="186">
        <v>12879.85619</v>
      </c>
      <c r="D43" s="10">
        <v>1640.2046399999999</v>
      </c>
      <c r="E43" s="9">
        <f t="shared" si="0"/>
        <v>12.734650261650165</v>
      </c>
      <c r="F43" s="9">
        <f t="shared" si="1"/>
        <v>-11239.65155</v>
      </c>
    </row>
    <row r="44" spans="1:7" ht="15" hidden="1" customHeight="1" x14ac:dyDescent="0.25">
      <c r="A44" s="16">
        <v>2022999910</v>
      </c>
      <c r="B44" s="18" t="s">
        <v>322</v>
      </c>
      <c r="C44" s="186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 x14ac:dyDescent="0.25">
      <c r="A45" s="16">
        <v>2023000000</v>
      </c>
      <c r="B45" s="17" t="s">
        <v>20</v>
      </c>
      <c r="C45" s="12">
        <v>64.344399999999993</v>
      </c>
      <c r="D45" s="180">
        <v>64.316699999999997</v>
      </c>
      <c r="E45" s="9">
        <f t="shared" si="0"/>
        <v>99.956950410602957</v>
      </c>
      <c r="F45" s="9">
        <f t="shared" si="1"/>
        <v>-2.7699999999995839E-2</v>
      </c>
    </row>
    <row r="46" spans="1:7" ht="24" customHeight="1" x14ac:dyDescent="0.25">
      <c r="A46" s="16">
        <v>2020400000</v>
      </c>
      <c r="B46" s="17" t="s">
        <v>21</v>
      </c>
      <c r="C46" s="12">
        <v>2380.7579999999998</v>
      </c>
      <c r="D46" s="181">
        <v>1534.758</v>
      </c>
      <c r="E46" s="9">
        <f t="shared" si="0"/>
        <v>64.465098930676717</v>
      </c>
      <c r="F46" s="9">
        <f t="shared" si="1"/>
        <v>-845.99999999999977</v>
      </c>
    </row>
    <row r="47" spans="1:7" ht="4.5" hidden="1" customHeight="1" x14ac:dyDescent="0.25">
      <c r="A47" s="16">
        <v>2020900000</v>
      </c>
      <c r="B47" s="18" t="s">
        <v>22</v>
      </c>
      <c r="C47" s="12"/>
      <c r="D47" s="181"/>
      <c r="E47" s="9" t="e">
        <f>SUM(D47/C47*100)</f>
        <v>#DIV/0!</v>
      </c>
      <c r="F47" s="9">
        <f>SUM(D47-C47)</f>
        <v>0</v>
      </c>
    </row>
    <row r="48" spans="1:7" ht="18" customHeight="1" x14ac:dyDescent="0.25">
      <c r="A48" s="7">
        <v>2070500010</v>
      </c>
      <c r="B48" s="18" t="s">
        <v>276</v>
      </c>
      <c r="C48" s="12">
        <v>0</v>
      </c>
      <c r="D48" s="181"/>
      <c r="E48" s="9" t="e">
        <f>SUM(D48/C48*100)</f>
        <v>#DIV/0!</v>
      </c>
      <c r="F48" s="9">
        <f>SUM(D48-C48)</f>
        <v>0</v>
      </c>
    </row>
    <row r="49" spans="1:7" ht="27.75" customHeight="1" x14ac:dyDescent="0.25">
      <c r="A49" s="7">
        <v>2190500005</v>
      </c>
      <c r="B49" s="11" t="s">
        <v>23</v>
      </c>
      <c r="C49" s="14">
        <v>0</v>
      </c>
      <c r="D49" s="14">
        <v>0</v>
      </c>
      <c r="E49" s="9" t="e">
        <f>SUM(D49/C49*100)</f>
        <v>#DIV/0!</v>
      </c>
      <c r="F49" s="9">
        <f>SUM(D49-C49)</f>
        <v>0</v>
      </c>
    </row>
    <row r="50" spans="1:7" s="6" customFormat="1" ht="31.5" x14ac:dyDescent="0.25">
      <c r="A50" s="3">
        <v>3000000000</v>
      </c>
      <c r="B50" s="13" t="s">
        <v>24</v>
      </c>
      <c r="C50" s="184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 x14ac:dyDescent="0.25">
      <c r="A51" s="3"/>
      <c r="B51" s="4" t="s">
        <v>25</v>
      </c>
      <c r="C51" s="240">
        <f>SUM(C39,C40,C50)</f>
        <v>29606.026700000006</v>
      </c>
      <c r="D51" s="241">
        <f>D39+D40</f>
        <v>17652.12298</v>
      </c>
      <c r="E51" s="92">
        <f t="shared" si="0"/>
        <v>59.62341099962596</v>
      </c>
      <c r="F51" s="92">
        <f t="shared" si="1"/>
        <v>-11953.903720000006</v>
      </c>
      <c r="G51" s="146">
        <f>18968.9976-D51</f>
        <v>1316.8746199999987</v>
      </c>
    </row>
    <row r="52" spans="1:7" s="6" customFormat="1" ht="23.25" customHeight="1" x14ac:dyDescent="0.25">
      <c r="A52" s="3"/>
      <c r="B52" s="21" t="s">
        <v>299</v>
      </c>
      <c r="C52" s="92">
        <f>C51-C98</f>
        <v>-2305.2303199999951</v>
      </c>
      <c r="D52" s="92">
        <f>D51-D98</f>
        <v>-1336.3100200000008</v>
      </c>
      <c r="E52" s="188"/>
      <c r="F52" s="188"/>
    </row>
    <row r="53" spans="1:7" x14ac:dyDescent="0.25">
      <c r="A53" s="23"/>
      <c r="B53" s="24"/>
      <c r="C53" s="25"/>
      <c r="D53" s="25"/>
      <c r="E53" s="26"/>
      <c r="F53" s="27"/>
    </row>
    <row r="54" spans="1:7" ht="32.25" customHeight="1" x14ac:dyDescent="0.25">
      <c r="A54" s="28" t="s">
        <v>0</v>
      </c>
      <c r="B54" s="28" t="s">
        <v>26</v>
      </c>
      <c r="C54" s="72" t="s">
        <v>394</v>
      </c>
      <c r="D54" s="399" t="s">
        <v>409</v>
      </c>
      <c r="E54" s="72" t="s">
        <v>2</v>
      </c>
      <c r="F54" s="73" t="s">
        <v>3</v>
      </c>
    </row>
    <row r="55" spans="1:7" x14ac:dyDescent="0.25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15" customHeight="1" x14ac:dyDescent="0.25">
      <c r="A56" s="30" t="s">
        <v>27</v>
      </c>
      <c r="B56" s="31" t="s">
        <v>28</v>
      </c>
      <c r="C56" s="32">
        <f>C57+C58+C59+C60+C61+C63+C62+C65</f>
        <v>2428.6605100000002</v>
      </c>
      <c r="D56" s="33">
        <f>D57+D58+D59+D60+D61+D63+D62</f>
        <v>2288.1988799999999</v>
      </c>
      <c r="E56" s="34">
        <f>SUM(D56/C56*100)</f>
        <v>94.216497965786075</v>
      </c>
      <c r="F56" s="34">
        <f>SUM(D56-C56)</f>
        <v>-140.46163000000024</v>
      </c>
    </row>
    <row r="57" spans="1:7" s="6" customFormat="1" ht="0.75" hidden="1" customHeight="1" x14ac:dyDescent="0.25">
      <c r="A57" s="35" t="s">
        <v>29</v>
      </c>
      <c r="B57" s="36" t="s">
        <v>30</v>
      </c>
      <c r="C57" s="37"/>
      <c r="D57" s="37"/>
      <c r="E57" s="38"/>
      <c r="F57" s="38"/>
    </row>
    <row r="58" spans="1:7" ht="16.5" customHeight="1" x14ac:dyDescent="0.25">
      <c r="A58" s="35" t="s">
        <v>31</v>
      </c>
      <c r="B58" s="39" t="s">
        <v>32</v>
      </c>
      <c r="C58" s="96">
        <v>2389.4525100000001</v>
      </c>
      <c r="D58" s="37">
        <v>2268.9908799999998</v>
      </c>
      <c r="E58" s="38">
        <f t="shared" ref="E58:E98" si="3">SUM(D58/C58*100)</f>
        <v>94.958609577053267</v>
      </c>
      <c r="F58" s="38">
        <f t="shared" ref="F58:F98" si="4">SUM(D58-C58)</f>
        <v>-120.46163000000024</v>
      </c>
    </row>
    <row r="59" spans="1:7" ht="1.5" hidden="1" customHeight="1" x14ac:dyDescent="0.25">
      <c r="A59" s="35" t="s">
        <v>33</v>
      </c>
      <c r="B59" s="39" t="s">
        <v>34</v>
      </c>
      <c r="C59" s="96"/>
      <c r="D59" s="37"/>
      <c r="E59" s="38"/>
      <c r="F59" s="38">
        <f t="shared" si="4"/>
        <v>0</v>
      </c>
    </row>
    <row r="60" spans="1:7" ht="17.25" hidden="1" customHeight="1" x14ac:dyDescent="0.25">
      <c r="A60" s="35" t="s">
        <v>35</v>
      </c>
      <c r="B60" s="39" t="s">
        <v>36</v>
      </c>
      <c r="C60" s="96"/>
      <c r="D60" s="37"/>
      <c r="E60" s="38" t="e">
        <f t="shared" si="3"/>
        <v>#DIV/0!</v>
      </c>
      <c r="F60" s="38">
        <f t="shared" si="4"/>
        <v>0</v>
      </c>
    </row>
    <row r="61" spans="1:7" hidden="1" x14ac:dyDescent="0.25">
      <c r="A61" s="35" t="s">
        <v>37</v>
      </c>
      <c r="B61" s="39" t="s">
        <v>38</v>
      </c>
      <c r="C61" s="96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 x14ac:dyDescent="0.25">
      <c r="A62" s="35" t="s">
        <v>39</v>
      </c>
      <c r="B62" s="39" t="s">
        <v>40</v>
      </c>
      <c r="C62" s="144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5.75" customHeight="1" x14ac:dyDescent="0.25">
      <c r="A63" s="35" t="s">
        <v>41</v>
      </c>
      <c r="B63" s="39" t="s">
        <v>42</v>
      </c>
      <c r="C63" s="96">
        <v>29.207999999999998</v>
      </c>
      <c r="D63" s="37">
        <v>19.207999999999998</v>
      </c>
      <c r="E63" s="38">
        <f t="shared" si="3"/>
        <v>65.762804711038072</v>
      </c>
      <c r="F63" s="38">
        <f t="shared" si="4"/>
        <v>-10</v>
      </c>
    </row>
    <row r="64" spans="1:7" s="6" customFormat="1" ht="15.75" hidden="1" customHeight="1" x14ac:dyDescent="0.25">
      <c r="A64" s="41" t="s">
        <v>43</v>
      </c>
      <c r="B64" s="42" t="s">
        <v>44</v>
      </c>
      <c r="C64" s="145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 x14ac:dyDescent="0.25">
      <c r="A65" s="43" t="s">
        <v>45</v>
      </c>
      <c r="B65" s="44" t="s">
        <v>46</v>
      </c>
      <c r="C65" s="96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 x14ac:dyDescent="0.25">
      <c r="A66" s="30" t="s">
        <v>47</v>
      </c>
      <c r="B66" s="31" t="s">
        <v>48</v>
      </c>
      <c r="C66" s="145">
        <f>C69+C70+C71</f>
        <v>15</v>
      </c>
      <c r="D66" s="145">
        <f>SUM(D69+D70+D71)</f>
        <v>9.9</v>
      </c>
      <c r="E66" s="34">
        <f t="shared" si="3"/>
        <v>66</v>
      </c>
      <c r="F66" s="34">
        <f t="shared" si="4"/>
        <v>-5.0999999999999996</v>
      </c>
    </row>
    <row r="67" spans="1:7" ht="3.75" hidden="1" customHeight="1" x14ac:dyDescent="0.25">
      <c r="A67" s="35" t="s">
        <v>49</v>
      </c>
      <c r="B67" s="39" t="s">
        <v>50</v>
      </c>
      <c r="C67" s="96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 x14ac:dyDescent="0.25">
      <c r="A68" s="45" t="s">
        <v>51</v>
      </c>
      <c r="B68" s="39" t="s">
        <v>52</v>
      </c>
      <c r="C68" s="96"/>
      <c r="D68" s="37"/>
      <c r="E68" s="34" t="e">
        <f t="shared" si="3"/>
        <v>#DIV/0!</v>
      </c>
      <c r="F68" s="34">
        <f t="shared" si="4"/>
        <v>0</v>
      </c>
    </row>
    <row r="69" spans="1:7" ht="19.5" customHeight="1" x14ac:dyDescent="0.25">
      <c r="A69" s="46" t="s">
        <v>53</v>
      </c>
      <c r="B69" s="47" t="s">
        <v>54</v>
      </c>
      <c r="C69" s="96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7.25" customHeight="1" x14ac:dyDescent="0.25">
      <c r="A70" s="46" t="s">
        <v>210</v>
      </c>
      <c r="B70" s="47" t="s">
        <v>211</v>
      </c>
      <c r="C70" s="96">
        <v>10</v>
      </c>
      <c r="D70" s="37">
        <v>7.9</v>
      </c>
      <c r="E70" s="34">
        <f t="shared" si="3"/>
        <v>79</v>
      </c>
      <c r="F70" s="34">
        <f t="shared" si="4"/>
        <v>-2.0999999999999996</v>
      </c>
    </row>
    <row r="71" spans="1:7" ht="17.25" customHeight="1" x14ac:dyDescent="0.25">
      <c r="A71" s="46" t="s">
        <v>330</v>
      </c>
      <c r="B71" s="47" t="s">
        <v>385</v>
      </c>
      <c r="C71" s="96">
        <v>2</v>
      </c>
      <c r="D71" s="37">
        <v>2</v>
      </c>
      <c r="E71" s="34">
        <f>SUM(D71/C71*100)</f>
        <v>100</v>
      </c>
      <c r="F71" s="34">
        <f>SUM(D71-C71)</f>
        <v>0</v>
      </c>
    </row>
    <row r="72" spans="1:7" s="6" customFormat="1" ht="16.5" customHeight="1" x14ac:dyDescent="0.25">
      <c r="A72" s="30" t="s">
        <v>55</v>
      </c>
      <c r="B72" s="31" t="s">
        <v>56</v>
      </c>
      <c r="C72" s="48">
        <f>SUM(C73:C76)</f>
        <v>3588.0214699999997</v>
      </c>
      <c r="D72" s="48">
        <f>SUM(D73:D76)</f>
        <v>3506.3091199999999</v>
      </c>
      <c r="E72" s="34">
        <f t="shared" si="3"/>
        <v>97.722634864835413</v>
      </c>
      <c r="F72" s="34">
        <f t="shared" si="4"/>
        <v>-81.712349999999788</v>
      </c>
    </row>
    <row r="73" spans="1:7" ht="15" customHeight="1" x14ac:dyDescent="0.25">
      <c r="A73" s="35" t="s">
        <v>57</v>
      </c>
      <c r="B73" s="39" t="s">
        <v>58</v>
      </c>
      <c r="C73" s="49">
        <v>64.344399999999993</v>
      </c>
      <c r="D73" s="37">
        <v>64.316699999999997</v>
      </c>
      <c r="E73" s="38">
        <f t="shared" si="3"/>
        <v>99.956950410602957</v>
      </c>
      <c r="F73" s="38">
        <f t="shared" si="4"/>
        <v>-2.7699999999995839E-2</v>
      </c>
    </row>
    <row r="74" spans="1:7" s="6" customFormat="1" ht="15.75" customHeight="1" x14ac:dyDescent="0.25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 ht="15" customHeight="1" x14ac:dyDescent="0.25">
      <c r="A75" s="35" t="s">
        <v>61</v>
      </c>
      <c r="B75" s="39" t="s">
        <v>62</v>
      </c>
      <c r="C75" s="49">
        <v>3344.5917199999999</v>
      </c>
      <c r="D75" s="37">
        <v>3332.9070700000002</v>
      </c>
      <c r="E75" s="38">
        <f t="shared" si="3"/>
        <v>99.65064046741108</v>
      </c>
      <c r="F75" s="38">
        <f t="shared" si="4"/>
        <v>-11.684649999999692</v>
      </c>
    </row>
    <row r="76" spans="1:7" ht="18" customHeight="1" x14ac:dyDescent="0.25">
      <c r="A76" s="35" t="s">
        <v>63</v>
      </c>
      <c r="B76" s="39" t="s">
        <v>64</v>
      </c>
      <c r="C76" s="49">
        <v>179.08535000000001</v>
      </c>
      <c r="D76" s="37">
        <v>109.08535000000001</v>
      </c>
      <c r="E76" s="38">
        <f t="shared" si="3"/>
        <v>60.912492283707188</v>
      </c>
      <c r="F76" s="38">
        <f t="shared" si="4"/>
        <v>-70</v>
      </c>
    </row>
    <row r="77" spans="1:7" s="6" customFormat="1" ht="17.25" customHeight="1" x14ac:dyDescent="0.25">
      <c r="A77" s="30" t="s">
        <v>65</v>
      </c>
      <c r="B77" s="31" t="s">
        <v>66</v>
      </c>
      <c r="C77" s="32">
        <f>C78+C79+C80+C83</f>
        <v>19062.27504</v>
      </c>
      <c r="D77" s="32">
        <f>D78+D79+D80+D83</f>
        <v>6375.7250000000004</v>
      </c>
      <c r="E77" s="34">
        <f t="shared" si="3"/>
        <v>33.446820941473518</v>
      </c>
      <c r="F77" s="34">
        <f t="shared" si="4"/>
        <v>-12686.55004</v>
      </c>
    </row>
    <row r="78" spans="1:7" ht="18" hidden="1" customHeight="1" x14ac:dyDescent="0.25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5" customHeight="1" x14ac:dyDescent="0.25">
      <c r="A79" s="35" t="s">
        <v>69</v>
      </c>
      <c r="B79" s="51" t="s">
        <v>70</v>
      </c>
      <c r="C79" s="37">
        <v>735</v>
      </c>
      <c r="D79" s="37">
        <v>713.20635000000004</v>
      </c>
      <c r="E79" s="38">
        <f t="shared" si="3"/>
        <v>97.034877551020415</v>
      </c>
      <c r="F79" s="38">
        <f t="shared" si="4"/>
        <v>-21.793649999999957</v>
      </c>
    </row>
    <row r="80" spans="1:7" ht="17.25" customHeight="1" x14ac:dyDescent="0.25">
      <c r="A80" s="35" t="s">
        <v>71</v>
      </c>
      <c r="B80" s="39" t="s">
        <v>72</v>
      </c>
      <c r="C80" s="37">
        <v>18327.27504</v>
      </c>
      <c r="D80" s="37">
        <v>5662.51865</v>
      </c>
      <c r="E80" s="38">
        <f t="shared" si="3"/>
        <v>30.896675242998917</v>
      </c>
      <c r="F80" s="38">
        <f t="shared" si="4"/>
        <v>-12664.75639</v>
      </c>
    </row>
    <row r="81" spans="1:6" s="6" customFormat="1" ht="18.75" customHeight="1" x14ac:dyDescent="0.25">
      <c r="A81" s="30" t="s">
        <v>81</v>
      </c>
      <c r="B81" s="31" t="s">
        <v>82</v>
      </c>
      <c r="C81" s="32">
        <f>C82</f>
        <v>6815.3</v>
      </c>
      <c r="D81" s="32">
        <f>D82</f>
        <v>6808.3</v>
      </c>
      <c r="E81" s="38">
        <f t="shared" si="3"/>
        <v>99.897289921206706</v>
      </c>
      <c r="F81" s="38">
        <f t="shared" si="4"/>
        <v>-7</v>
      </c>
    </row>
    <row r="82" spans="1:6" ht="19.5" customHeight="1" x14ac:dyDescent="0.25">
      <c r="A82" s="35" t="s">
        <v>83</v>
      </c>
      <c r="B82" s="39" t="s">
        <v>225</v>
      </c>
      <c r="C82" s="37">
        <v>6815.3</v>
      </c>
      <c r="D82" s="37">
        <v>6808.3</v>
      </c>
      <c r="E82" s="38">
        <f t="shared" si="3"/>
        <v>99.897289921206706</v>
      </c>
      <c r="F82" s="38">
        <f t="shared" si="4"/>
        <v>-7</v>
      </c>
    </row>
    <row r="83" spans="1:6" ht="15" hidden="1" customHeight="1" x14ac:dyDescent="0.25">
      <c r="A83" s="35" t="s">
        <v>247</v>
      </c>
      <c r="B83" s="39" t="s">
        <v>248</v>
      </c>
      <c r="C83" s="37">
        <v>0</v>
      </c>
      <c r="D83" s="37"/>
      <c r="E83" s="38" t="e">
        <f t="shared" si="3"/>
        <v>#DIV/0!</v>
      </c>
      <c r="F83" s="38">
        <f t="shared" si="4"/>
        <v>0</v>
      </c>
    </row>
    <row r="84" spans="1:6" s="6" customFormat="1" ht="12.75" hidden="1" customHeight="1" x14ac:dyDescent="0.25">
      <c r="A84" s="52">
        <v>1000</v>
      </c>
      <c r="B84" s="31" t="s">
        <v>84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2.75" hidden="1" customHeight="1" x14ac:dyDescent="0.25">
      <c r="A85" s="53">
        <v>1001</v>
      </c>
      <c r="B85" s="54" t="s">
        <v>85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 x14ac:dyDescent="0.25">
      <c r="A86" s="53">
        <v>1003</v>
      </c>
      <c r="B86" s="54" t="s">
        <v>86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 x14ac:dyDescent="0.25">
      <c r="A87" s="53">
        <v>1004</v>
      </c>
      <c r="B87" s="54" t="s">
        <v>87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7.25" hidden="1" customHeight="1" x14ac:dyDescent="0.25">
      <c r="A88" s="35" t="s">
        <v>88</v>
      </c>
      <c r="B88" s="39" t="s">
        <v>89</v>
      </c>
      <c r="C88" s="37">
        <v>0</v>
      </c>
      <c r="D88" s="37">
        <v>0</v>
      </c>
      <c r="E88" s="38"/>
      <c r="F88" s="38">
        <f t="shared" si="4"/>
        <v>0</v>
      </c>
    </row>
    <row r="89" spans="1:6" ht="19.5" customHeight="1" x14ac:dyDescent="0.25">
      <c r="A89" s="30" t="s">
        <v>90</v>
      </c>
      <c r="B89" s="31" t="s">
        <v>91</v>
      </c>
      <c r="C89" s="32">
        <f>C90+C91+C92+C93+C94</f>
        <v>2</v>
      </c>
      <c r="D89" s="32">
        <f>D90+D91+D92+D93+D94</f>
        <v>0</v>
      </c>
      <c r="E89" s="38">
        <f t="shared" si="3"/>
        <v>0</v>
      </c>
      <c r="F89" s="22">
        <f>F90+F91+F92+F93+F94</f>
        <v>-2</v>
      </c>
    </row>
    <row r="90" spans="1:6" ht="15.75" customHeight="1" x14ac:dyDescent="0.25">
      <c r="A90" s="35" t="s">
        <v>92</v>
      </c>
      <c r="B90" s="39" t="s">
        <v>93</v>
      </c>
      <c r="C90" s="37">
        <v>2</v>
      </c>
      <c r="D90" s="37">
        <v>0</v>
      </c>
      <c r="E90" s="38">
        <f t="shared" si="3"/>
        <v>0</v>
      </c>
      <c r="F90" s="38">
        <f>SUM(D90-C90)</f>
        <v>-2</v>
      </c>
    </row>
    <row r="91" spans="1:6" ht="15" hidden="1" customHeight="1" x14ac:dyDescent="0.25">
      <c r="A91" s="35" t="s">
        <v>94</v>
      </c>
      <c r="B91" s="39" t="s">
        <v>95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 x14ac:dyDescent="0.25">
      <c r="A92" s="35" t="s">
        <v>96</v>
      </c>
      <c r="B92" s="39" t="s">
        <v>97</v>
      </c>
      <c r="C92" s="37"/>
      <c r="D92" s="37"/>
      <c r="E92" s="38" t="e">
        <f t="shared" si="3"/>
        <v>#DIV/0!</v>
      </c>
      <c r="F92" s="38"/>
    </row>
    <row r="93" spans="1:6" ht="15" hidden="1" customHeight="1" x14ac:dyDescent="0.25">
      <c r="A93" s="35" t="s">
        <v>98</v>
      </c>
      <c r="B93" s="39" t="s">
        <v>99</v>
      </c>
      <c r="C93" s="37"/>
      <c r="D93" s="37"/>
      <c r="E93" s="38" t="e">
        <f t="shared" si="3"/>
        <v>#DIV/0!</v>
      </c>
      <c r="F93" s="38"/>
    </row>
    <row r="94" spans="1:6" ht="15" hidden="1" customHeight="1" x14ac:dyDescent="0.25">
      <c r="A94" s="35" t="s">
        <v>100</v>
      </c>
      <c r="B94" s="39" t="s">
        <v>101</v>
      </c>
      <c r="C94" s="37"/>
      <c r="D94" s="37"/>
      <c r="E94" s="38" t="e">
        <f t="shared" si="3"/>
        <v>#DIV/0!</v>
      </c>
      <c r="F94" s="38"/>
    </row>
    <row r="95" spans="1:6" s="6" customFormat="1" ht="18" hidden="1" customHeight="1" x14ac:dyDescent="0.25">
      <c r="A95" s="52">
        <v>1400</v>
      </c>
      <c r="B95" s="56" t="s">
        <v>109</v>
      </c>
      <c r="C95" s="48">
        <f>SUM(C96+C97)</f>
        <v>0</v>
      </c>
      <c r="D95" s="48">
        <f>SUM(D96+D97)</f>
        <v>0</v>
      </c>
      <c r="E95" s="34" t="e">
        <f t="shared" si="3"/>
        <v>#DIV/0!</v>
      </c>
      <c r="F95" s="34">
        <f t="shared" si="4"/>
        <v>0</v>
      </c>
    </row>
    <row r="96" spans="1:6" ht="20.25" hidden="1" customHeight="1" x14ac:dyDescent="0.25">
      <c r="A96" s="53">
        <v>1402</v>
      </c>
      <c r="B96" s="54" t="s">
        <v>111</v>
      </c>
      <c r="C96" s="170"/>
      <c r="D96" s="171"/>
      <c r="E96" s="38" t="e">
        <f t="shared" si="3"/>
        <v>#DIV/0!</v>
      </c>
      <c r="F96" s="38">
        <f t="shared" si="4"/>
        <v>0</v>
      </c>
    </row>
    <row r="97" spans="1:7" ht="15" hidden="1" customHeight="1" x14ac:dyDescent="0.25">
      <c r="A97" s="53">
        <v>1403</v>
      </c>
      <c r="B97" s="54" t="s">
        <v>112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6.5" customHeight="1" x14ac:dyDescent="0.25">
      <c r="A98" s="52"/>
      <c r="B98" s="57" t="s">
        <v>113</v>
      </c>
      <c r="C98" s="243">
        <f>C56+C72+C77+C84+C89+C95+C66+C81</f>
        <v>31911.257020000001</v>
      </c>
      <c r="D98" s="243">
        <f>SUM(D56+D66+D72+D77+D81+D89)</f>
        <v>18988.433000000001</v>
      </c>
      <c r="E98" s="34">
        <f t="shared" si="3"/>
        <v>59.503870336725463</v>
      </c>
      <c r="F98" s="34">
        <f t="shared" si="4"/>
        <v>-12922.82402</v>
      </c>
      <c r="G98" s="193"/>
    </row>
    <row r="99" spans="1:7" ht="20.25" customHeight="1" x14ac:dyDescent="0.25">
      <c r="D99" s="175"/>
    </row>
    <row r="100" spans="1:7" s="65" customFormat="1" ht="13.5" customHeight="1" x14ac:dyDescent="0.2">
      <c r="A100" s="63" t="s">
        <v>114</v>
      </c>
      <c r="B100" s="63"/>
      <c r="C100" s="117"/>
      <c r="D100" s="64"/>
    </row>
    <row r="101" spans="1:7" s="65" customFormat="1" ht="12.75" x14ac:dyDescent="0.2">
      <c r="A101" s="66" t="s">
        <v>115</v>
      </c>
      <c r="B101" s="66"/>
      <c r="C101" s="132" t="s">
        <v>116</v>
      </c>
      <c r="D101" s="132"/>
    </row>
    <row r="102" spans="1:7" ht="5.25" customHeight="1" x14ac:dyDescent="0.25"/>
    <row r="142" hidden="1" x14ac:dyDescent="0.25"/>
  </sheetData>
  <customSheetViews>
    <customSheetView guid="{4D5E6ACC-9055-4DE9-8C20-9052F3C35D19}" scale="70" showPageBreaks="1" printArea="1" hiddenRows="1" state="hidden" view="pageBreakPreview" topLeftCell="A31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5C539BE6-C8E0-453F-AB5E-9E58094195EA}" scale="70" showPageBreaks="1" printArea="1" hiddenRows="1" view="pageBreakPreview" topLeftCell="A34">
      <selection activeCell="C77" sqref="C77"/>
      <pageMargins left="0.70866141732283472" right="0.70866141732283472" top="0.74803149606299213" bottom="0.74803149606299213" header="0.31496062992125984" footer="0.31496062992125984"/>
      <pageSetup paperSize="9" scale="58" orientation="portrait" r:id="rId2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A52382B-3765-4E8C-903F-6B8919B7242E}" scale="70" showPageBreaks="1" printArea="1" hiddenRows="1" view="pageBreakPreview" topLeftCell="A34">
      <selection activeCell="C69" sqref="C69"/>
      <pageMargins left="0.7" right="0.7" top="0.75" bottom="0.75" header="0.3" footer="0.3"/>
      <pageSetup paperSize="9" scale="50" orientation="portrait" r:id="rId5"/>
    </customSheetView>
    <customSheetView guid="{B31C8DB7-3E78-4144-A6B5-8DE36DE63F0E}" showPageBreaks="1" printArea="1" hiddenRows="1" topLeftCell="A32">
      <selection activeCell="D97" sqref="D97"/>
      <pageMargins left="0.7" right="0.7" top="0.75" bottom="0.75" header="0.3" footer="0.3"/>
      <pageSetup paperSize="9" scale="50" orientation="portrait" r:id="rId6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7"/>
    </customSheetView>
    <customSheetView guid="{B30CE22D-C12F-4E12-8BB9-3AAE0A6991CC}" scale="70" showPageBreaks="1" printArea="1" hiddenRows="1" view="pageBreakPreview">
      <selection activeCell="W45" sqref="W45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1" orientation="portrait" r:id="rId9"/>
    </customSheetView>
    <customSheetView guid="{3DCB9AAA-F09C-4EA6-B992-F93E466D374A}" printArea="1" hiddenRows="1" topLeftCell="A31">
      <selection activeCell="B100" sqref="B100"/>
      <pageMargins left="0.7" right="0.7" top="0.75" bottom="0.75" header="0.3" footer="0.3"/>
      <pageSetup paperSize="9" scale="50" orientation="portrait" r:id="rId10"/>
    </customSheetView>
    <customSheetView guid="{F85EE840-0C31-454A-8951-832C2E9E0600}" scale="70" showPageBreaks="1" printArea="1" hiddenRows="1" state="hidden" view="pageBreakPreview" topLeftCell="A37">
      <selection activeCell="C69" sqref="C69"/>
      <pageMargins left="0.70866141732283472" right="0.70866141732283472" top="0.74803149606299213" bottom="0.74803149606299213" header="0.31496062992125984" footer="0.31496062992125984"/>
      <pageSetup paperSize="9" scale="58" orientation="portrait" r:id="rId11"/>
    </customSheetView>
    <customSheetView guid="{F1E84C44-1ACD-474A-BDE0-C7088DB6C590}" scale="70" showPageBreaks="1" printArea="1" hiddenRows="1" state="hidden" view="pageBreakPreview" topLeftCell="A31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12"/>
    </customSheetView>
    <customSheetView guid="{61528DAC-5C4C-48F4-ADE2-8A724B05A086}" scale="70" showPageBreaks="1" printArea="1" hiddenRows="1" state="hidden" view="pageBreakPreview" topLeftCell="A31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13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10</vt:i4>
      </vt:variant>
    </vt:vector>
  </HeadingPairs>
  <TitlesOfParts>
    <vt:vector size="35" baseType="lpstr">
      <vt:lpstr>Консол</vt:lpstr>
      <vt:lpstr>Справка</vt:lpstr>
      <vt:lpstr>район</vt:lpstr>
      <vt:lpstr>Лист5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Ярос</vt:lpstr>
      <vt:lpstr>Лист1</vt:lpstr>
      <vt:lpstr>Лист2</vt:lpstr>
      <vt:lpstr>Лист3</vt:lpstr>
      <vt:lpstr>Лист4</vt:lpstr>
      <vt:lpstr>Лист6</vt:lpstr>
      <vt:lpstr>Але!Область_печати</vt:lpstr>
      <vt:lpstr>Иль!Область_печати</vt:lpstr>
      <vt:lpstr>Консол!Область_печати</vt:lpstr>
      <vt:lpstr>Мор!Область_печати</vt:lpstr>
      <vt:lpstr>район!Область_печати</vt:lpstr>
      <vt:lpstr>Справка!Область_печати</vt:lpstr>
      <vt:lpstr>Сун!Область_печати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Семенов Николай Юрьевич</cp:lastModifiedBy>
  <cp:lastPrinted>2024-07-11T11:51:55Z</cp:lastPrinted>
  <dcterms:created xsi:type="dcterms:W3CDTF">1996-10-08T23:32:33Z</dcterms:created>
  <dcterms:modified xsi:type="dcterms:W3CDTF">2024-07-17T13:40:55Z</dcterms:modified>
</cp:coreProperties>
</file>