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struc77\Desktop\"/>
    </mc:Choice>
  </mc:AlternateContent>
  <bookViews>
    <workbookView xWindow="0" yWindow="0" windowWidth="20640" windowHeight="11535" tabRatio="765"/>
  </bookViews>
  <sheets>
    <sheet name="Лист1" sheetId="1" r:id="rId1"/>
  </sheets>
  <definedNames>
    <definedName name="_xlnm.Print_Titles" localSheetId="0">Лист1!$10:$10</definedName>
    <definedName name="_xlnm.Print_Area" localSheetId="0">Лист1!$A$1:$AB$214</definedName>
  </definedNames>
  <calcPr calcId="152511"/>
</workbook>
</file>

<file path=xl/calcChain.xml><?xml version="1.0" encoding="utf-8"?>
<calcChain xmlns="http://schemas.openxmlformats.org/spreadsheetml/2006/main">
  <c r="R194" i="1" l="1"/>
  <c r="V194" i="1"/>
  <c r="V195" i="1"/>
  <c r="V196" i="1"/>
  <c r="R195" i="1"/>
  <c r="R196" i="1"/>
  <c r="M196" i="1"/>
  <c r="M195" i="1"/>
  <c r="M194" i="1"/>
  <c r="K195" i="1"/>
  <c r="K194" i="1" s="1"/>
  <c r="L195" i="1"/>
  <c r="L194" i="1" s="1"/>
  <c r="J195" i="1"/>
  <c r="J194" i="1" s="1"/>
  <c r="J64" i="1"/>
  <c r="J70" i="1"/>
  <c r="X163" i="1" l="1"/>
  <c r="G74" i="1"/>
  <c r="M193" i="1" l="1"/>
  <c r="M190" i="1"/>
  <c r="M187" i="1"/>
  <c r="M184" i="1"/>
  <c r="R193" i="1"/>
  <c r="R190" i="1"/>
  <c r="R187" i="1"/>
  <c r="R184" i="1"/>
  <c r="R178" i="1"/>
  <c r="R175" i="1"/>
  <c r="R169" i="1"/>
  <c r="M178" i="1"/>
  <c r="M175" i="1"/>
  <c r="M172" i="1"/>
  <c r="M169" i="1"/>
  <c r="M166" i="1"/>
  <c r="M163" i="1"/>
  <c r="M160" i="1"/>
  <c r="R154" i="1"/>
  <c r="M151" i="1"/>
  <c r="M148" i="1"/>
  <c r="M145" i="1"/>
  <c r="M142" i="1"/>
  <c r="M139" i="1"/>
  <c r="M136" i="1"/>
  <c r="M133" i="1"/>
  <c r="M130" i="1"/>
  <c r="R142" i="1"/>
  <c r="R136" i="1"/>
  <c r="R133" i="1"/>
  <c r="R130" i="1"/>
  <c r="R127" i="1"/>
  <c r="M127" i="1"/>
  <c r="R109" i="1"/>
  <c r="M121" i="1"/>
  <c r="M118" i="1"/>
  <c r="M115" i="1"/>
  <c r="M112" i="1"/>
  <c r="M109" i="1"/>
  <c r="M103" i="1"/>
  <c r="R100" i="1"/>
  <c r="M100" i="1"/>
  <c r="R91" i="1"/>
  <c r="R88" i="1"/>
  <c r="R85" i="1"/>
  <c r="R82" i="1"/>
  <c r="M94" i="1"/>
  <c r="M91" i="1"/>
  <c r="M88" i="1"/>
  <c r="M85" i="1"/>
  <c r="M82" i="1"/>
  <c r="R76" i="1"/>
  <c r="M76" i="1"/>
  <c r="M73" i="1"/>
  <c r="M70" i="1"/>
  <c r="M67" i="1"/>
  <c r="M40" i="1"/>
  <c r="M43" i="1"/>
  <c r="M46" i="1"/>
  <c r="M49" i="1"/>
  <c r="M52" i="1"/>
  <c r="M55" i="1"/>
  <c r="M58" i="1"/>
  <c r="R58" i="1"/>
  <c r="R52" i="1"/>
  <c r="R49" i="1"/>
  <c r="R46" i="1"/>
  <c r="R43" i="1"/>
  <c r="R40" i="1"/>
  <c r="R37" i="1"/>
  <c r="M31" i="1"/>
  <c r="R28" i="1"/>
  <c r="M28" i="1"/>
  <c r="R25" i="1"/>
  <c r="M25" i="1"/>
  <c r="R22" i="1"/>
  <c r="R19" i="1"/>
  <c r="M22" i="1"/>
  <c r="M19" i="1"/>
  <c r="M16" i="1"/>
  <c r="R16" i="1"/>
  <c r="R73" i="1"/>
  <c r="I67" i="1"/>
  <c r="R67" i="1"/>
  <c r="S31" i="1"/>
  <c r="R31" i="1" s="1"/>
  <c r="S64" i="1"/>
  <c r="R64" i="1" s="1"/>
  <c r="S70" i="1"/>
  <c r="R70" i="1" s="1"/>
  <c r="S94" i="1"/>
  <c r="R94" i="1" s="1"/>
  <c r="S160" i="1"/>
  <c r="R160" i="1" s="1"/>
  <c r="R13" i="1" l="1"/>
  <c r="M13" i="1"/>
  <c r="Z172" i="1"/>
  <c r="S172" i="1" s="1"/>
  <c r="R172" i="1" s="1"/>
  <c r="Y61" i="1"/>
  <c r="X160" i="1"/>
  <c r="X184" i="1"/>
  <c r="X70" i="1"/>
  <c r="X64" i="1"/>
  <c r="W160" i="1"/>
  <c r="Z121" i="1" l="1"/>
  <c r="Y93" i="1"/>
  <c r="Y92" i="1" s="1"/>
  <c r="Y81" i="1"/>
  <c r="Y80" i="1" s="1"/>
  <c r="Y84" i="1"/>
  <c r="Y83" i="1" s="1"/>
  <c r="Y87" i="1"/>
  <c r="Y86" i="1" s="1"/>
  <c r="Y90" i="1"/>
  <c r="Y89" i="1" s="1"/>
  <c r="Y78" i="1"/>
  <c r="Y77" i="1" s="1"/>
  <c r="Y75" i="1"/>
  <c r="Y74" i="1" s="1"/>
  <c r="Y72" i="1"/>
  <c r="Y71" i="1" s="1"/>
  <c r="Y69" i="1"/>
  <c r="Y68" i="1" s="1"/>
  <c r="Y63" i="1"/>
  <c r="Y62" i="1" s="1"/>
  <c r="Y60" i="1"/>
  <c r="Y59" i="1" s="1"/>
  <c r="Y57" i="1"/>
  <c r="Y56" i="1" s="1"/>
  <c r="Y54" i="1"/>
  <c r="Y53" i="1" s="1"/>
  <c r="Y39" i="1"/>
  <c r="Y38" i="1" s="1"/>
  <c r="Y42" i="1"/>
  <c r="Y41" i="1" s="1"/>
  <c r="Y45" i="1"/>
  <c r="Y44" i="1" s="1"/>
  <c r="Y48" i="1"/>
  <c r="Y47" i="1" s="1"/>
  <c r="Y36" i="1"/>
  <c r="Y35" i="1" s="1"/>
  <c r="Y30" i="1"/>
  <c r="Y29" i="1" s="1"/>
  <c r="Y27" i="1"/>
  <c r="Y26" i="1" s="1"/>
  <c r="Y24" i="1"/>
  <c r="Y23" i="1" s="1"/>
  <c r="Y21" i="1"/>
  <c r="Y20" i="1" s="1"/>
  <c r="Y18" i="1"/>
  <c r="Y17" i="1" s="1"/>
  <c r="Y15" i="1"/>
  <c r="Y14" i="1" s="1"/>
  <c r="Y13" i="1"/>
  <c r="Y12" i="1" s="1"/>
  <c r="Y11" i="1" s="1"/>
  <c r="V19" i="1"/>
  <c r="V22" i="1"/>
  <c r="V25" i="1"/>
  <c r="V28" i="1"/>
  <c r="Y34" i="1"/>
  <c r="Y33" i="1" s="1"/>
  <c r="Y32" i="1" s="1"/>
  <c r="V37" i="1"/>
  <c r="V40" i="1"/>
  <c r="V43" i="1"/>
  <c r="V46" i="1"/>
  <c r="V49" i="1"/>
  <c r="V52" i="1"/>
  <c r="V58" i="1"/>
  <c r="V67" i="1"/>
  <c r="V73" i="1"/>
  <c r="V76" i="1"/>
  <c r="V82" i="1"/>
  <c r="V85" i="1"/>
  <c r="V88" i="1"/>
  <c r="V91" i="1"/>
  <c r="V100" i="1"/>
  <c r="V103" i="1"/>
  <c r="V109" i="1"/>
  <c r="V112" i="1"/>
  <c r="V115" i="1"/>
  <c r="V118" i="1"/>
  <c r="V127" i="1"/>
  <c r="V130" i="1"/>
  <c r="V133" i="1"/>
  <c r="V136" i="1"/>
  <c r="V139" i="1"/>
  <c r="V142" i="1"/>
  <c r="V145" i="1"/>
  <c r="V148" i="1"/>
  <c r="V151" i="1"/>
  <c r="V154" i="1"/>
  <c r="V160" i="1"/>
  <c r="V163" i="1"/>
  <c r="V166" i="1"/>
  <c r="V169" i="1"/>
  <c r="V172" i="1"/>
  <c r="V175" i="1"/>
  <c r="V178" i="1"/>
  <c r="V184" i="1"/>
  <c r="V187" i="1"/>
  <c r="V190" i="1"/>
  <c r="V193" i="1"/>
  <c r="Y97" i="1"/>
  <c r="Y96" i="1" s="1"/>
  <c r="Y95" i="1" s="1"/>
  <c r="Y99" i="1"/>
  <c r="Y98" i="1" s="1"/>
  <c r="Y102" i="1"/>
  <c r="Y101" i="1" s="1"/>
  <c r="Y108" i="1"/>
  <c r="Y107" i="1" s="1"/>
  <c r="Y111" i="1"/>
  <c r="Y110" i="1" s="1"/>
  <c r="Y114" i="1"/>
  <c r="Y113" i="1" s="1"/>
  <c r="Y117" i="1"/>
  <c r="Y116" i="1" s="1"/>
  <c r="Y106" i="1"/>
  <c r="Y105" i="1" s="1"/>
  <c r="Y104" i="1" s="1"/>
  <c r="Y120" i="1"/>
  <c r="Y119" i="1" s="1"/>
  <c r="Y124" i="1"/>
  <c r="Y123" i="1" s="1"/>
  <c r="Y122" i="1" s="1"/>
  <c r="Y126" i="1"/>
  <c r="Y125" i="1" s="1"/>
  <c r="Y129" i="1"/>
  <c r="Y128" i="1" s="1"/>
  <c r="Y132" i="1"/>
  <c r="Y131" i="1" s="1"/>
  <c r="Y135" i="1"/>
  <c r="Y134" i="1" s="1"/>
  <c r="Y138" i="1"/>
  <c r="Y137" i="1" s="1"/>
  <c r="Y141" i="1"/>
  <c r="Y140" i="1" s="1"/>
  <c r="Y144" i="1"/>
  <c r="Y143" i="1" s="1"/>
  <c r="Y147" i="1"/>
  <c r="Y146" i="1" s="1"/>
  <c r="Y150" i="1"/>
  <c r="Y149" i="1" s="1"/>
  <c r="Y153" i="1"/>
  <c r="Y152" i="1" s="1"/>
  <c r="Y157" i="1"/>
  <c r="Y156" i="1" s="1"/>
  <c r="Y155" i="1" s="1"/>
  <c r="Y159" i="1"/>
  <c r="Y158" i="1" s="1"/>
  <c r="Y162" i="1"/>
  <c r="Y161" i="1" s="1"/>
  <c r="Y165" i="1"/>
  <c r="Y164" i="1" s="1"/>
  <c r="Y168" i="1"/>
  <c r="Y167" i="1" s="1"/>
  <c r="Y171" i="1"/>
  <c r="Y170" i="1" s="1"/>
  <c r="Y174" i="1"/>
  <c r="Y173" i="1" s="1"/>
  <c r="Y177" i="1"/>
  <c r="Y176" i="1" s="1"/>
  <c r="Y181" i="1"/>
  <c r="Y180" i="1" s="1"/>
  <c r="Y179" i="1" s="1"/>
  <c r="Y183" i="1"/>
  <c r="Y182" i="1" s="1"/>
  <c r="Y186" i="1"/>
  <c r="Y185" i="1" s="1"/>
  <c r="Y189" i="1"/>
  <c r="Y188" i="1" s="1"/>
  <c r="Y192" i="1"/>
  <c r="Y191" i="1" s="1"/>
  <c r="Y51" i="1"/>
  <c r="Y50" i="1" s="1"/>
  <c r="X162" i="1"/>
  <c r="X161" i="1" s="1"/>
  <c r="Z162" i="1"/>
  <c r="Z161" i="1" s="1"/>
  <c r="AA162" i="1"/>
  <c r="AA161" i="1" s="1"/>
  <c r="X165" i="1"/>
  <c r="X164" i="1" s="1"/>
  <c r="Z165" i="1"/>
  <c r="Z164" i="1" s="1"/>
  <c r="AA165" i="1"/>
  <c r="AA164" i="1" s="1"/>
  <c r="X159" i="1"/>
  <c r="X158" i="1" s="1"/>
  <c r="Z159" i="1"/>
  <c r="Z158" i="1" s="1"/>
  <c r="AA159" i="1"/>
  <c r="AA158" i="1" s="1"/>
  <c r="X157" i="1"/>
  <c r="X156" i="1" s="1"/>
  <c r="X155" i="1" s="1"/>
  <c r="W94" i="1"/>
  <c r="V94" i="1" s="1"/>
  <c r="W31" i="1"/>
  <c r="V31" i="1" s="1"/>
  <c r="X186" i="1"/>
  <c r="X185" i="1" s="1"/>
  <c r="Z186" i="1"/>
  <c r="Z185" i="1" s="1"/>
  <c r="AA186" i="1"/>
  <c r="AA185" i="1" s="1"/>
  <c r="X192" i="1"/>
  <c r="X191" i="1" s="1"/>
  <c r="Z192" i="1"/>
  <c r="Z191" i="1" s="1"/>
  <c r="AA192" i="1"/>
  <c r="AA191" i="1" s="1"/>
  <c r="X189" i="1"/>
  <c r="X188" i="1" s="1"/>
  <c r="Z189" i="1"/>
  <c r="Z188" i="1" s="1"/>
  <c r="AA189" i="1"/>
  <c r="AA188" i="1" s="1"/>
  <c r="X183" i="1"/>
  <c r="X182" i="1" s="1"/>
  <c r="Z183" i="1"/>
  <c r="Z182" i="1" s="1"/>
  <c r="AA183" i="1"/>
  <c r="AA182" i="1" s="1"/>
  <c r="X181" i="1"/>
  <c r="X180" i="1" s="1"/>
  <c r="X179" i="1" s="1"/>
  <c r="Z181" i="1"/>
  <c r="Z180" i="1" s="1"/>
  <c r="Z179" i="1" s="1"/>
  <c r="AA181" i="1"/>
  <c r="AA180" i="1" s="1"/>
  <c r="AA179" i="1" s="1"/>
  <c r="X168" i="1"/>
  <c r="X167" i="1" s="1"/>
  <c r="Z168" i="1"/>
  <c r="Z167" i="1" s="1"/>
  <c r="AA168" i="1"/>
  <c r="AA167" i="1" s="1"/>
  <c r="X171" i="1"/>
  <c r="X170" i="1" s="1"/>
  <c r="Z171" i="1"/>
  <c r="Z170" i="1" s="1"/>
  <c r="AA171" i="1"/>
  <c r="AA170" i="1" s="1"/>
  <c r="AA174" i="1"/>
  <c r="AA173" i="1" s="1"/>
  <c r="X174" i="1"/>
  <c r="X173" i="1" s="1"/>
  <c r="Z174" i="1"/>
  <c r="Z173" i="1" s="1"/>
  <c r="X177" i="1"/>
  <c r="X176" i="1" s="1"/>
  <c r="Z177" i="1"/>
  <c r="Z176" i="1" s="1"/>
  <c r="AA177" i="1"/>
  <c r="AA176" i="1" s="1"/>
  <c r="Z157" i="1"/>
  <c r="Z156" i="1" s="1"/>
  <c r="Z155" i="1" s="1"/>
  <c r="AA157" i="1"/>
  <c r="AA156" i="1" s="1"/>
  <c r="AA155" i="1" s="1"/>
  <c r="X141" i="1"/>
  <c r="X140" i="1" s="1"/>
  <c r="Z141" i="1"/>
  <c r="Z140" i="1" s="1"/>
  <c r="AA141" i="1"/>
  <c r="AA140" i="1" s="1"/>
  <c r="X144" i="1"/>
  <c r="X143" i="1" s="1"/>
  <c r="Z144" i="1"/>
  <c r="Z143" i="1" s="1"/>
  <c r="AA144" i="1"/>
  <c r="AA143" i="1" s="1"/>
  <c r="X147" i="1"/>
  <c r="X146" i="1" s="1"/>
  <c r="Z147" i="1"/>
  <c r="Z146" i="1" s="1"/>
  <c r="AA147" i="1"/>
  <c r="AA146" i="1" s="1"/>
  <c r="X150" i="1"/>
  <c r="X149" i="1" s="1"/>
  <c r="Z150" i="1"/>
  <c r="Z149" i="1" s="1"/>
  <c r="AA150" i="1"/>
  <c r="AA149" i="1" s="1"/>
  <c r="X153" i="1"/>
  <c r="X152" i="1" s="1"/>
  <c r="Z153" i="1"/>
  <c r="Z152" i="1" s="1"/>
  <c r="AA153" i="1"/>
  <c r="AA152" i="1" s="1"/>
  <c r="X126" i="1"/>
  <c r="X125" i="1" s="1"/>
  <c r="Z126" i="1"/>
  <c r="Z125" i="1" s="1"/>
  <c r="AA126" i="1"/>
  <c r="AA125" i="1" s="1"/>
  <c r="X129" i="1"/>
  <c r="X128" i="1" s="1"/>
  <c r="Z129" i="1"/>
  <c r="Z128" i="1" s="1"/>
  <c r="AA129" i="1"/>
  <c r="AA128" i="1" s="1"/>
  <c r="X132" i="1"/>
  <c r="X131" i="1" s="1"/>
  <c r="Z132" i="1"/>
  <c r="Z131" i="1" s="1"/>
  <c r="AA132" i="1"/>
  <c r="AA131" i="1" s="1"/>
  <c r="X135" i="1"/>
  <c r="X134" i="1" s="1"/>
  <c r="Z135" i="1"/>
  <c r="Z134" i="1" s="1"/>
  <c r="AA135" i="1"/>
  <c r="AA134" i="1" s="1"/>
  <c r="X138" i="1"/>
  <c r="X137" i="1" s="1"/>
  <c r="Z138" i="1"/>
  <c r="Z137" i="1" s="1"/>
  <c r="AA138" i="1"/>
  <c r="AA137" i="1" s="1"/>
  <c r="X124" i="1"/>
  <c r="X123" i="1" s="1"/>
  <c r="X122" i="1" s="1"/>
  <c r="Z124" i="1"/>
  <c r="Z123" i="1" s="1"/>
  <c r="Z122" i="1" s="1"/>
  <c r="AA124" i="1"/>
  <c r="AA123" i="1" s="1"/>
  <c r="AA122" i="1" s="1"/>
  <c r="X120" i="1"/>
  <c r="X119" i="1" s="1"/>
  <c r="AA120" i="1"/>
  <c r="AA119" i="1" s="1"/>
  <c r="X108" i="1"/>
  <c r="X107" i="1" s="1"/>
  <c r="Z108" i="1"/>
  <c r="Z107" i="1" s="1"/>
  <c r="AA108" i="1"/>
  <c r="AA107" i="1" s="1"/>
  <c r="X111" i="1"/>
  <c r="X110" i="1" s="1"/>
  <c r="Z111" i="1"/>
  <c r="Z110" i="1" s="1"/>
  <c r="AA111" i="1"/>
  <c r="AA110" i="1" s="1"/>
  <c r="X114" i="1"/>
  <c r="X113" i="1" s="1"/>
  <c r="Z114" i="1"/>
  <c r="Z113" i="1" s="1"/>
  <c r="AA114" i="1"/>
  <c r="AA113" i="1" s="1"/>
  <c r="X117" i="1"/>
  <c r="X116" i="1" s="1"/>
  <c r="Z117" i="1"/>
  <c r="Z116" i="1" s="1"/>
  <c r="AA117" i="1"/>
  <c r="AA116" i="1" s="1"/>
  <c r="X106" i="1"/>
  <c r="X105" i="1" s="1"/>
  <c r="X104" i="1" s="1"/>
  <c r="AA106" i="1"/>
  <c r="AA105" i="1" s="1"/>
  <c r="AA104" i="1" s="1"/>
  <c r="X99" i="1"/>
  <c r="X98" i="1" s="1"/>
  <c r="Z99" i="1"/>
  <c r="Z98" i="1" s="1"/>
  <c r="AA99" i="1"/>
  <c r="AA98" i="1" s="1"/>
  <c r="X102" i="1"/>
  <c r="X101" i="1" s="1"/>
  <c r="Z102" i="1"/>
  <c r="Z101" i="1" s="1"/>
  <c r="AA102" i="1"/>
  <c r="AA101" i="1" s="1"/>
  <c r="X97" i="1"/>
  <c r="X96" i="1" s="1"/>
  <c r="X95" i="1" s="1"/>
  <c r="Z97" i="1"/>
  <c r="Z96" i="1" s="1"/>
  <c r="Z95" i="1" s="1"/>
  <c r="AA97" i="1"/>
  <c r="AA96" i="1" s="1"/>
  <c r="AA95" i="1" s="1"/>
  <c r="X81" i="1"/>
  <c r="X80" i="1" s="1"/>
  <c r="Z81" i="1"/>
  <c r="Z80" i="1" s="1"/>
  <c r="AA81" i="1"/>
  <c r="AA80" i="1" s="1"/>
  <c r="X84" i="1"/>
  <c r="X83" i="1" s="1"/>
  <c r="Z84" i="1"/>
  <c r="Z83" i="1" s="1"/>
  <c r="AA84" i="1"/>
  <c r="AA83" i="1" s="1"/>
  <c r="X87" i="1"/>
  <c r="X86" i="1" s="1"/>
  <c r="Z87" i="1"/>
  <c r="Z86" i="1" s="1"/>
  <c r="AA87" i="1"/>
  <c r="AA86" i="1" s="1"/>
  <c r="X90" i="1"/>
  <c r="X89" i="1" s="1"/>
  <c r="Z90" i="1"/>
  <c r="Z89" i="1" s="1"/>
  <c r="AA90" i="1"/>
  <c r="AA89" i="1" s="1"/>
  <c r="X93" i="1"/>
  <c r="X92" i="1" s="1"/>
  <c r="Z93" i="1"/>
  <c r="Z92" i="1" s="1"/>
  <c r="AA93" i="1"/>
  <c r="AA92" i="1" s="1"/>
  <c r="X79" i="1"/>
  <c r="X78" i="1" s="1"/>
  <c r="X77" i="1" s="1"/>
  <c r="Z79" i="1"/>
  <c r="Z78" i="1" s="1"/>
  <c r="Z77" i="1" s="1"/>
  <c r="AA79" i="1"/>
  <c r="AA78" i="1" s="1"/>
  <c r="AA77" i="1" s="1"/>
  <c r="X75" i="1"/>
  <c r="X74" i="1" s="1"/>
  <c r="Z75" i="1"/>
  <c r="Z74" i="1" s="1"/>
  <c r="AA75" i="1"/>
  <c r="AA74" i="1" s="1"/>
  <c r="X72" i="1"/>
  <c r="X71" i="1" s="1"/>
  <c r="Z72" i="1"/>
  <c r="Z71" i="1" s="1"/>
  <c r="AA72" i="1"/>
  <c r="AA71" i="1" s="1"/>
  <c r="X63" i="1"/>
  <c r="X62" i="1" s="1"/>
  <c r="Z63" i="1"/>
  <c r="Z62" i="1" s="1"/>
  <c r="AA63" i="1"/>
  <c r="AA62" i="1" s="1"/>
  <c r="X69" i="1"/>
  <c r="X68" i="1" s="1"/>
  <c r="Z69" i="1"/>
  <c r="Z68" i="1" s="1"/>
  <c r="AA69" i="1"/>
  <c r="AA68" i="1" s="1"/>
  <c r="W70" i="1"/>
  <c r="V70" i="1" s="1"/>
  <c r="X61" i="1"/>
  <c r="X60" i="1" s="1"/>
  <c r="X59" i="1" s="1"/>
  <c r="Z61" i="1"/>
  <c r="Z60" i="1" s="1"/>
  <c r="Z59" i="1" s="1"/>
  <c r="AA61" i="1"/>
  <c r="AA60" i="1" s="1"/>
  <c r="AA59" i="1" s="1"/>
  <c r="X36" i="1"/>
  <c r="X35" i="1" s="1"/>
  <c r="Z36" i="1"/>
  <c r="Z35" i="1" s="1"/>
  <c r="AA36" i="1"/>
  <c r="AA35" i="1" s="1"/>
  <c r="X39" i="1"/>
  <c r="X38" i="1" s="1"/>
  <c r="Z39" i="1"/>
  <c r="Z38" i="1" s="1"/>
  <c r="AA39" i="1"/>
  <c r="AA38" i="1" s="1"/>
  <c r="X42" i="1"/>
  <c r="X41" i="1" s="1"/>
  <c r="Z42" i="1"/>
  <c r="Z41" i="1" s="1"/>
  <c r="AA42" i="1"/>
  <c r="AA41" i="1" s="1"/>
  <c r="X45" i="1"/>
  <c r="X44" i="1" s="1"/>
  <c r="Z45" i="1"/>
  <c r="Z44" i="1" s="1"/>
  <c r="AA45" i="1"/>
  <c r="AA44" i="1" s="1"/>
  <c r="X48" i="1"/>
  <c r="X47" i="1" s="1"/>
  <c r="Z48" i="1"/>
  <c r="Z47" i="1" s="1"/>
  <c r="AA48" i="1"/>
  <c r="AA47" i="1" s="1"/>
  <c r="X51" i="1"/>
  <c r="X50" i="1" s="1"/>
  <c r="Z51" i="1"/>
  <c r="Z50" i="1" s="1"/>
  <c r="AA51" i="1"/>
  <c r="AA50" i="1" s="1"/>
  <c r="X34" i="1"/>
  <c r="X33" i="1" s="1"/>
  <c r="X32" i="1" s="1"/>
  <c r="Z55" i="1"/>
  <c r="Z34" i="1" s="1"/>
  <c r="Z33" i="1" s="1"/>
  <c r="Z32" i="1" s="1"/>
  <c r="AA55" i="1"/>
  <c r="AA34" i="1" s="1"/>
  <c r="AA33" i="1" s="1"/>
  <c r="AA32" i="1" s="1"/>
  <c r="X57" i="1"/>
  <c r="X56" i="1" s="1"/>
  <c r="Z57" i="1"/>
  <c r="Z56" i="1" s="1"/>
  <c r="AA57" i="1"/>
  <c r="AA56" i="1" s="1"/>
  <c r="X30" i="1"/>
  <c r="X29" i="1" s="1"/>
  <c r="Z30" i="1"/>
  <c r="Z29" i="1" s="1"/>
  <c r="AA30" i="1"/>
  <c r="AA29" i="1" s="1"/>
  <c r="X27" i="1"/>
  <c r="X26" i="1" s="1"/>
  <c r="Z27" i="1"/>
  <c r="Z26" i="1" s="1"/>
  <c r="AA27" i="1"/>
  <c r="AA26" i="1" s="1"/>
  <c r="X24" i="1"/>
  <c r="X23" i="1" s="1"/>
  <c r="Z24" i="1"/>
  <c r="Z23" i="1" s="1"/>
  <c r="AA24" i="1"/>
  <c r="AA23" i="1" s="1"/>
  <c r="X21" i="1"/>
  <c r="X20" i="1" s="1"/>
  <c r="Z21" i="1"/>
  <c r="Z20" i="1" s="1"/>
  <c r="AA21" i="1"/>
  <c r="AA20" i="1" s="1"/>
  <c r="X18" i="1"/>
  <c r="X17" i="1" s="1"/>
  <c r="Z18" i="1"/>
  <c r="Z17" i="1" s="1"/>
  <c r="AA18" i="1"/>
  <c r="AA17" i="1" s="1"/>
  <c r="X15" i="1"/>
  <c r="X14" i="1" s="1"/>
  <c r="Z15" i="1"/>
  <c r="Z14" i="1" s="1"/>
  <c r="AA15" i="1"/>
  <c r="AA14" i="1" s="1"/>
  <c r="X13" i="1"/>
  <c r="X12" i="1" s="1"/>
  <c r="X11" i="1" s="1"/>
  <c r="Z13" i="1"/>
  <c r="Z12" i="1" s="1"/>
  <c r="Z11" i="1" s="1"/>
  <c r="AA13" i="1"/>
  <c r="AA12" i="1" s="1"/>
  <c r="AA11" i="1" s="1"/>
  <c r="Z106" i="1" l="1"/>
  <c r="Z105" i="1" s="1"/>
  <c r="Z104" i="1" s="1"/>
  <c r="S121" i="1"/>
  <c r="R121" i="1" s="1"/>
  <c r="V121" i="1"/>
  <c r="Z120" i="1"/>
  <c r="Z119" i="1" s="1"/>
  <c r="Y199" i="1"/>
  <c r="Y198" i="1" s="1"/>
  <c r="Y197" i="1" s="1"/>
  <c r="X54" i="1"/>
  <c r="X53" i="1" s="1"/>
  <c r="Z54" i="1"/>
  <c r="Z53" i="1" s="1"/>
  <c r="AA54" i="1"/>
  <c r="AA53" i="1" s="1"/>
  <c r="AA199" i="1"/>
  <c r="AA198" i="1" s="1"/>
  <c r="AA197" i="1" s="1"/>
  <c r="X199" i="1"/>
  <c r="V183" i="1"/>
  <c r="V182" i="1" s="1"/>
  <c r="V177" i="1"/>
  <c r="V176" i="1" s="1"/>
  <c r="V174" i="1"/>
  <c r="V173" i="1" s="1"/>
  <c r="V171" i="1"/>
  <c r="V170" i="1" s="1"/>
  <c r="V168" i="1"/>
  <c r="V167" i="1" s="1"/>
  <c r="V162" i="1"/>
  <c r="V161" i="1" s="1"/>
  <c r="V153" i="1"/>
  <c r="V152" i="1" s="1"/>
  <c r="V147" i="1"/>
  <c r="V146" i="1" s="1"/>
  <c r="V144" i="1"/>
  <c r="V143" i="1" s="1"/>
  <c r="V141" i="1"/>
  <c r="V140" i="1" s="1"/>
  <c r="V138" i="1"/>
  <c r="V137" i="1" s="1"/>
  <c r="V135" i="1"/>
  <c r="V134" i="1" s="1"/>
  <c r="V132" i="1"/>
  <c r="V131" i="1" s="1"/>
  <c r="V129" i="1"/>
  <c r="V128" i="1" s="1"/>
  <c r="V117" i="1"/>
  <c r="V116" i="1" s="1"/>
  <c r="V114" i="1"/>
  <c r="V113" i="1" s="1"/>
  <c r="V111" i="1"/>
  <c r="V110" i="1" s="1"/>
  <c r="V108" i="1"/>
  <c r="V107" i="1" s="1"/>
  <c r="V102" i="1"/>
  <c r="V101" i="1" s="1"/>
  <c r="V90" i="1"/>
  <c r="V89" i="1" s="1"/>
  <c r="V84" i="1"/>
  <c r="V83" i="1" s="1"/>
  <c r="V81" i="1"/>
  <c r="V80" i="1" s="1"/>
  <c r="V75" i="1"/>
  <c r="V74" i="1" s="1"/>
  <c r="V72" i="1"/>
  <c r="V71" i="1" s="1"/>
  <c r="V69" i="1"/>
  <c r="V68" i="1" s="1"/>
  <c r="V51" i="1"/>
  <c r="V50" i="1" s="1"/>
  <c r="V48" i="1"/>
  <c r="V47" i="1" s="1"/>
  <c r="V45" i="1"/>
  <c r="V44" i="1" s="1"/>
  <c r="V42" i="1"/>
  <c r="V41" i="1" s="1"/>
  <c r="V36" i="1"/>
  <c r="V35" i="1" s="1"/>
  <c r="V27" i="1"/>
  <c r="V26" i="1" s="1"/>
  <c r="V24" i="1"/>
  <c r="V23" i="1" s="1"/>
  <c r="V21" i="1"/>
  <c r="V20" i="1" s="1"/>
  <c r="V18" i="1"/>
  <c r="V17" i="1" s="1"/>
  <c r="L40" i="1"/>
  <c r="L43" i="1"/>
  <c r="L42" i="1" s="1"/>
  <c r="L41" i="1" s="1"/>
  <c r="L46" i="1"/>
  <c r="L45" i="1" s="1"/>
  <c r="L44" i="1" s="1"/>
  <c r="L49" i="1"/>
  <c r="L48" i="1" s="1"/>
  <c r="L47" i="1" s="1"/>
  <c r="L52" i="1"/>
  <c r="L51" i="1" s="1"/>
  <c r="L50" i="1" s="1"/>
  <c r="L55" i="1"/>
  <c r="L54" i="1" s="1"/>
  <c r="L53" i="1" s="1"/>
  <c r="L58" i="1"/>
  <c r="L57" i="1" s="1"/>
  <c r="L56" i="1" s="1"/>
  <c r="L63" i="1"/>
  <c r="L62" i="1" s="1"/>
  <c r="L67" i="1"/>
  <c r="L66" i="1" s="1"/>
  <c r="L65" i="1" s="1"/>
  <c r="L69" i="1"/>
  <c r="L68" i="1" s="1"/>
  <c r="L73" i="1"/>
  <c r="L72" i="1" s="1"/>
  <c r="L71" i="1" s="1"/>
  <c r="L76" i="1"/>
  <c r="L61" i="1" s="1"/>
  <c r="L60" i="1" s="1"/>
  <c r="L59" i="1" s="1"/>
  <c r="L82" i="1"/>
  <c r="L81" i="1" s="1"/>
  <c r="L80" i="1" s="1"/>
  <c r="L85" i="1"/>
  <c r="L84" i="1" s="1"/>
  <c r="L83" i="1" s="1"/>
  <c r="L88" i="1"/>
  <c r="L87" i="1" s="1"/>
  <c r="L86" i="1" s="1"/>
  <c r="L91" i="1"/>
  <c r="L94" i="1"/>
  <c r="L93" i="1" s="1"/>
  <c r="L92" i="1" s="1"/>
  <c r="L100" i="1"/>
  <c r="L99" i="1" s="1"/>
  <c r="L98" i="1" s="1"/>
  <c r="L103" i="1"/>
  <c r="L102" i="1" s="1"/>
  <c r="L101" i="1" s="1"/>
  <c r="L109" i="1"/>
  <c r="L108" i="1" s="1"/>
  <c r="L107" i="1" s="1"/>
  <c r="L115" i="1"/>
  <c r="L114" i="1" s="1"/>
  <c r="L113" i="1" s="1"/>
  <c r="L118" i="1"/>
  <c r="L117" i="1" s="1"/>
  <c r="L116" i="1" s="1"/>
  <c r="L121" i="1"/>
  <c r="L120" i="1" s="1"/>
  <c r="L119" i="1" s="1"/>
  <c r="L127" i="1"/>
  <c r="L126" i="1" s="1"/>
  <c r="L125" i="1" s="1"/>
  <c r="L130" i="1"/>
  <c r="L129" i="1" s="1"/>
  <c r="L128" i="1" s="1"/>
  <c r="L133" i="1"/>
  <c r="L132" i="1" s="1"/>
  <c r="L131" i="1" s="1"/>
  <c r="L136" i="1"/>
  <c r="L135" i="1" s="1"/>
  <c r="L134" i="1" s="1"/>
  <c r="L142" i="1"/>
  <c r="L145" i="1"/>
  <c r="L144" i="1" s="1"/>
  <c r="L143" i="1" s="1"/>
  <c r="L148" i="1"/>
  <c r="L147" i="1" s="1"/>
  <c r="L146" i="1" s="1"/>
  <c r="L151" i="1"/>
  <c r="L150" i="1" s="1"/>
  <c r="L149" i="1" s="1"/>
  <c r="L154" i="1"/>
  <c r="L153" i="1" s="1"/>
  <c r="L152" i="1" s="1"/>
  <c r="L160" i="1"/>
  <c r="L163" i="1"/>
  <c r="L166" i="1"/>
  <c r="L169" i="1"/>
  <c r="L168" i="1" s="1"/>
  <c r="L167" i="1" s="1"/>
  <c r="L171" i="1"/>
  <c r="L170" i="1" s="1"/>
  <c r="L174" i="1"/>
  <c r="L173" i="1" s="1"/>
  <c r="L177" i="1"/>
  <c r="L176" i="1" s="1"/>
  <c r="L184" i="1"/>
  <c r="L187" i="1"/>
  <c r="L190" i="1"/>
  <c r="L193" i="1"/>
  <c r="P63" i="1"/>
  <c r="U157" i="1"/>
  <c r="U156" i="1" s="1"/>
  <c r="U155" i="1" s="1"/>
  <c r="T157" i="1"/>
  <c r="Q157" i="1"/>
  <c r="O157" i="1"/>
  <c r="P157" i="1"/>
  <c r="N157" i="1"/>
  <c r="K157" i="1"/>
  <c r="J157" i="1"/>
  <c r="Q106" i="1"/>
  <c r="O106" i="1"/>
  <c r="P106" i="1"/>
  <c r="N106" i="1"/>
  <c r="I61" i="1"/>
  <c r="V165" i="1"/>
  <c r="V164" i="1" s="1"/>
  <c r="V150" i="1"/>
  <c r="V149" i="1" s="1"/>
  <c r="U108" i="1"/>
  <c r="U112" i="1"/>
  <c r="U114" i="1"/>
  <c r="U113" i="1" s="1"/>
  <c r="U117" i="1"/>
  <c r="U116" i="1" s="1"/>
  <c r="U120" i="1"/>
  <c r="U119" i="1" s="1"/>
  <c r="U124" i="1"/>
  <c r="U123" i="1" s="1"/>
  <c r="U122" i="1" s="1"/>
  <c r="U126" i="1"/>
  <c r="U125" i="1" s="1"/>
  <c r="U129" i="1"/>
  <c r="U128" i="1" s="1"/>
  <c r="U132" i="1"/>
  <c r="U131" i="1" s="1"/>
  <c r="U135" i="1"/>
  <c r="U134" i="1" s="1"/>
  <c r="U138" i="1"/>
  <c r="U137" i="1" s="1"/>
  <c r="U141" i="1"/>
  <c r="U140" i="1" s="1"/>
  <c r="U144" i="1"/>
  <c r="U143" i="1" s="1"/>
  <c r="U147" i="1"/>
  <c r="U146" i="1" s="1"/>
  <c r="U150" i="1"/>
  <c r="U149" i="1" s="1"/>
  <c r="U153" i="1"/>
  <c r="U152" i="1" s="1"/>
  <c r="U159" i="1"/>
  <c r="U158" i="1" s="1"/>
  <c r="U162" i="1"/>
  <c r="U161" i="1" s="1"/>
  <c r="U165" i="1"/>
  <c r="U164" i="1" s="1"/>
  <c r="U168" i="1"/>
  <c r="U167" i="1" s="1"/>
  <c r="U171" i="1"/>
  <c r="U170" i="1" s="1"/>
  <c r="U174" i="1"/>
  <c r="U173" i="1" s="1"/>
  <c r="U177" i="1"/>
  <c r="U176" i="1" s="1"/>
  <c r="U181" i="1"/>
  <c r="U180" i="1" s="1"/>
  <c r="U179" i="1" s="1"/>
  <c r="U183" i="1"/>
  <c r="U182" i="1" s="1"/>
  <c r="U186" i="1"/>
  <c r="U185" i="1" s="1"/>
  <c r="U189" i="1"/>
  <c r="U188" i="1" s="1"/>
  <c r="U192" i="1"/>
  <c r="U191" i="1" s="1"/>
  <c r="V87" i="1"/>
  <c r="V86" i="1" s="1"/>
  <c r="V65" i="1"/>
  <c r="V66" i="1"/>
  <c r="V57" i="1"/>
  <c r="V56" i="1" s="1"/>
  <c r="V39" i="1"/>
  <c r="V38" i="1" s="1"/>
  <c r="U13" i="1"/>
  <c r="T13" i="1"/>
  <c r="Q13" i="1"/>
  <c r="P13" i="1"/>
  <c r="O13" i="1"/>
  <c r="N13" i="1"/>
  <c r="K13" i="1"/>
  <c r="J13" i="1"/>
  <c r="I13" i="1"/>
  <c r="U34" i="1"/>
  <c r="T34" i="1"/>
  <c r="Q34" i="1"/>
  <c r="O34" i="1"/>
  <c r="N34" i="1"/>
  <c r="J34" i="1"/>
  <c r="Q120" i="1"/>
  <c r="Q119" i="1" s="1"/>
  <c r="P120" i="1"/>
  <c r="P119" i="1" s="1"/>
  <c r="O120" i="1"/>
  <c r="O119" i="1" s="1"/>
  <c r="N120" i="1"/>
  <c r="N119" i="1" s="1"/>
  <c r="K120" i="1"/>
  <c r="K119" i="1" s="1"/>
  <c r="J120" i="1"/>
  <c r="J119" i="1" s="1"/>
  <c r="T106" i="1"/>
  <c r="W106" i="1"/>
  <c r="J181" i="1"/>
  <c r="K181" i="1"/>
  <c r="N181" i="1"/>
  <c r="O181" i="1"/>
  <c r="P181" i="1"/>
  <c r="Q181" i="1"/>
  <c r="T181" i="1"/>
  <c r="T180" i="1" s="1"/>
  <c r="T179" i="1" s="1"/>
  <c r="W181" i="1"/>
  <c r="V181" i="1" s="1"/>
  <c r="S181" i="1"/>
  <c r="S166" i="1"/>
  <c r="R166" i="1" s="1"/>
  <c r="S163" i="1"/>
  <c r="R163" i="1" s="1"/>
  <c r="W157" i="1"/>
  <c r="V157" i="1" s="1"/>
  <c r="S148" i="1"/>
  <c r="R148" i="1" s="1"/>
  <c r="S145" i="1"/>
  <c r="R145" i="1" s="1"/>
  <c r="W124" i="1"/>
  <c r="O124" i="1"/>
  <c r="P124" i="1"/>
  <c r="T124" i="1"/>
  <c r="J124" i="1"/>
  <c r="S118" i="1"/>
  <c r="R118" i="1" s="1"/>
  <c r="S115" i="1"/>
  <c r="R115" i="1" s="1"/>
  <c r="U66" i="1"/>
  <c r="U65" i="1" s="1"/>
  <c r="W64" i="1"/>
  <c r="V64" i="1" s="1"/>
  <c r="S55" i="1"/>
  <c r="W55" i="1"/>
  <c r="W16" i="1"/>
  <c r="S13" i="1"/>
  <c r="V106" i="1" l="1"/>
  <c r="Z199" i="1"/>
  <c r="Z198" i="1" s="1"/>
  <c r="Z197" i="1" s="1"/>
  <c r="L162" i="1"/>
  <c r="L161" i="1" s="1"/>
  <c r="L159" i="1"/>
  <c r="L158" i="1" s="1"/>
  <c r="L141" i="1"/>
  <c r="L140" i="1" s="1"/>
  <c r="L165" i="1"/>
  <c r="L164" i="1" s="1"/>
  <c r="L189" i="1"/>
  <c r="L188" i="1" s="1"/>
  <c r="L186" i="1"/>
  <c r="L185" i="1" s="1"/>
  <c r="L183" i="1"/>
  <c r="L182" i="1" s="1"/>
  <c r="L192" i="1"/>
  <c r="L191" i="1" s="1"/>
  <c r="M106" i="1"/>
  <c r="W123" i="1"/>
  <c r="W122" i="1" s="1"/>
  <c r="V124" i="1"/>
  <c r="V123" i="1" s="1"/>
  <c r="V122" i="1" s="1"/>
  <c r="V16" i="1"/>
  <c r="V15" i="1" s="1"/>
  <c r="V14" i="1" s="1"/>
  <c r="M181" i="1"/>
  <c r="U111" i="1"/>
  <c r="U110" i="1" s="1"/>
  <c r="R112" i="1"/>
  <c r="M157" i="1"/>
  <c r="S34" i="1"/>
  <c r="R34" i="1" s="1"/>
  <c r="R55" i="1"/>
  <c r="I55" i="1" s="1"/>
  <c r="I34" i="1" s="1"/>
  <c r="W34" i="1"/>
  <c r="V34" i="1" s="1"/>
  <c r="V55" i="1"/>
  <c r="V54" i="1" s="1"/>
  <c r="V53" i="1" s="1"/>
  <c r="R181" i="1"/>
  <c r="X198" i="1"/>
  <c r="X197" i="1" s="1"/>
  <c r="S157" i="1"/>
  <c r="R157" i="1" s="1"/>
  <c r="V63" i="1"/>
  <c r="V62" i="1" s="1"/>
  <c r="V30" i="1"/>
  <c r="V29" i="1" s="1"/>
  <c r="L181" i="1"/>
  <c r="L157" i="1"/>
  <c r="L156" i="1" s="1"/>
  <c r="L155" i="1" s="1"/>
  <c r="L75" i="1"/>
  <c r="L74" i="1" s="1"/>
  <c r="L97" i="1"/>
  <c r="L96" i="1" s="1"/>
  <c r="L95" i="1" s="1"/>
  <c r="L79" i="1"/>
  <c r="L78" i="1" s="1"/>
  <c r="L77" i="1" s="1"/>
  <c r="V156" i="1"/>
  <c r="V155" i="1" s="1"/>
  <c r="V99" i="1"/>
  <c r="V98" i="1" s="1"/>
  <c r="V180" i="1"/>
  <c r="V179" i="1" s="1"/>
  <c r="V126" i="1"/>
  <c r="V125" i="1" s="1"/>
  <c r="U106" i="1"/>
  <c r="W13" i="1"/>
  <c r="S106" i="1"/>
  <c r="V93" i="1"/>
  <c r="V92" i="1" s="1"/>
  <c r="L180" i="1" l="1"/>
  <c r="L179" i="1" s="1"/>
  <c r="R106" i="1"/>
  <c r="V13" i="1"/>
  <c r="V12" i="1" s="1"/>
  <c r="V11" i="1" s="1"/>
  <c r="V33" i="1"/>
  <c r="V32" i="1" s="1"/>
  <c r="V159" i="1"/>
  <c r="V158" i="1" s="1"/>
  <c r="S151" i="1"/>
  <c r="S124" i="1" l="1"/>
  <c r="R151" i="1"/>
  <c r="W120" i="1"/>
  <c r="W119" i="1" s="1"/>
  <c r="T120" i="1"/>
  <c r="T119" i="1" s="1"/>
  <c r="S120" i="1"/>
  <c r="S119" i="1" s="1"/>
  <c r="R120" i="1"/>
  <c r="R119" i="1" s="1"/>
  <c r="M120" i="1"/>
  <c r="M119" i="1" s="1"/>
  <c r="V105" i="1" l="1"/>
  <c r="V104" i="1" s="1"/>
  <c r="V120" i="1"/>
  <c r="V119" i="1" s="1"/>
  <c r="I106" i="1"/>
  <c r="V186" i="1"/>
  <c r="V185" i="1" s="1"/>
  <c r="V189" i="1"/>
  <c r="V188" i="1" s="1"/>
  <c r="V192" i="1"/>
  <c r="V191" i="1" s="1"/>
  <c r="M192" i="1"/>
  <c r="M191" i="1" s="1"/>
  <c r="W192" i="1"/>
  <c r="W191" i="1" s="1"/>
  <c r="T192" i="1"/>
  <c r="T191" i="1" s="1"/>
  <c r="S192" i="1"/>
  <c r="S191" i="1" s="1"/>
  <c r="Q192" i="1"/>
  <c r="Q191" i="1" s="1"/>
  <c r="P192" i="1"/>
  <c r="P191" i="1" s="1"/>
  <c r="O192" i="1"/>
  <c r="O191" i="1" s="1"/>
  <c r="N192" i="1"/>
  <c r="N191" i="1" s="1"/>
  <c r="K192" i="1"/>
  <c r="K191" i="1" s="1"/>
  <c r="J192" i="1"/>
  <c r="J191" i="1" s="1"/>
  <c r="M189" i="1"/>
  <c r="M188" i="1" s="1"/>
  <c r="W189" i="1"/>
  <c r="W188" i="1" s="1"/>
  <c r="T189" i="1"/>
  <c r="T188" i="1" s="1"/>
  <c r="S189" i="1"/>
  <c r="S188" i="1" s="1"/>
  <c r="Q189" i="1"/>
  <c r="Q188" i="1" s="1"/>
  <c r="P189" i="1"/>
  <c r="P188" i="1" s="1"/>
  <c r="O189" i="1"/>
  <c r="O188" i="1" s="1"/>
  <c r="N189" i="1"/>
  <c r="N188" i="1" s="1"/>
  <c r="K189" i="1"/>
  <c r="K188" i="1" s="1"/>
  <c r="J189" i="1"/>
  <c r="J188" i="1" s="1"/>
  <c r="M186" i="1"/>
  <c r="M185" i="1" s="1"/>
  <c r="W186" i="1"/>
  <c r="W185" i="1" s="1"/>
  <c r="T186" i="1"/>
  <c r="T185" i="1" s="1"/>
  <c r="S186" i="1"/>
  <c r="S185" i="1" s="1"/>
  <c r="Q186" i="1"/>
  <c r="Q185" i="1" s="1"/>
  <c r="P186" i="1"/>
  <c r="P185" i="1" s="1"/>
  <c r="O186" i="1"/>
  <c r="O185" i="1" s="1"/>
  <c r="N186" i="1"/>
  <c r="N185" i="1" s="1"/>
  <c r="K186" i="1"/>
  <c r="K185" i="1" s="1"/>
  <c r="J186" i="1"/>
  <c r="J185" i="1" s="1"/>
  <c r="G185" i="1" l="1"/>
  <c r="G119" i="1"/>
  <c r="I120" i="1"/>
  <c r="I119" i="1" s="1"/>
  <c r="R189" i="1"/>
  <c r="R188" i="1" s="1"/>
  <c r="R192" i="1"/>
  <c r="R191" i="1" s="1"/>
  <c r="I186" i="1"/>
  <c r="I185" i="1" s="1"/>
  <c r="R186" i="1"/>
  <c r="R185" i="1" s="1"/>
  <c r="M171" i="1"/>
  <c r="M170" i="1" s="1"/>
  <c r="M174" i="1"/>
  <c r="M173" i="1" s="1"/>
  <c r="M177" i="1"/>
  <c r="M176" i="1" s="1"/>
  <c r="W177" i="1"/>
  <c r="W176" i="1" s="1"/>
  <c r="T177" i="1"/>
  <c r="T176" i="1" s="1"/>
  <c r="S177" i="1"/>
  <c r="S176" i="1" s="1"/>
  <c r="Q177" i="1"/>
  <c r="Q176" i="1" s="1"/>
  <c r="P177" i="1"/>
  <c r="P176" i="1" s="1"/>
  <c r="O177" i="1"/>
  <c r="O176" i="1" s="1"/>
  <c r="N177" i="1"/>
  <c r="N176" i="1" s="1"/>
  <c r="K177" i="1"/>
  <c r="K176" i="1" s="1"/>
  <c r="J177" i="1"/>
  <c r="J176" i="1" s="1"/>
  <c r="W174" i="1"/>
  <c r="W173" i="1" s="1"/>
  <c r="T174" i="1"/>
  <c r="T173" i="1" s="1"/>
  <c r="S174" i="1"/>
  <c r="S173" i="1" s="1"/>
  <c r="Q174" i="1"/>
  <c r="Q173" i="1" s="1"/>
  <c r="P174" i="1"/>
  <c r="P173" i="1" s="1"/>
  <c r="O174" i="1"/>
  <c r="O173" i="1" s="1"/>
  <c r="N174" i="1"/>
  <c r="N173" i="1" s="1"/>
  <c r="K174" i="1"/>
  <c r="K173" i="1" s="1"/>
  <c r="J174" i="1"/>
  <c r="J173" i="1" s="1"/>
  <c r="W171" i="1"/>
  <c r="W170" i="1" s="1"/>
  <c r="T171" i="1"/>
  <c r="T170" i="1" s="1"/>
  <c r="S171" i="1"/>
  <c r="S170" i="1" s="1"/>
  <c r="Q171" i="1"/>
  <c r="Q170" i="1" s="1"/>
  <c r="P171" i="1"/>
  <c r="P170" i="1" s="1"/>
  <c r="O171" i="1"/>
  <c r="O170" i="1" s="1"/>
  <c r="N171" i="1"/>
  <c r="N170" i="1" s="1"/>
  <c r="K171" i="1"/>
  <c r="K170" i="1" s="1"/>
  <c r="J171" i="1"/>
  <c r="J170" i="1" s="1"/>
  <c r="I181" i="1" l="1"/>
  <c r="I189" i="1"/>
  <c r="I188" i="1" s="1"/>
  <c r="G188" i="1"/>
  <c r="I192" i="1"/>
  <c r="I191" i="1" s="1"/>
  <c r="G191" i="1"/>
  <c r="R174" i="1"/>
  <c r="R173" i="1" s="1"/>
  <c r="R177" i="1"/>
  <c r="R176" i="1" s="1"/>
  <c r="R171" i="1"/>
  <c r="R170" i="1" s="1"/>
  <c r="Q154" i="1"/>
  <c r="I171" i="1" l="1"/>
  <c r="I170" i="1" s="1"/>
  <c r="I157" i="1"/>
  <c r="Q153" i="1"/>
  <c r="Q152" i="1" s="1"/>
  <c r="Q124" i="1"/>
  <c r="G170" i="1"/>
  <c r="I174" i="1"/>
  <c r="I173" i="1" s="1"/>
  <c r="G173" i="1"/>
  <c r="I177" i="1"/>
  <c r="I176" i="1" s="1"/>
  <c r="G176" i="1"/>
  <c r="N64" i="1"/>
  <c r="M64" i="1" s="1"/>
  <c r="R124" i="1" l="1"/>
  <c r="R139" i="1"/>
  <c r="R103" i="1"/>
  <c r="I103" i="1" l="1"/>
  <c r="I139" i="1"/>
  <c r="U97" i="1" l="1"/>
  <c r="S97" i="1" l="1"/>
  <c r="U107" i="1" l="1"/>
  <c r="U105" i="1"/>
  <c r="U104" i="1" s="1"/>
  <c r="U102" i="1"/>
  <c r="U101" i="1" s="1"/>
  <c r="U99" i="1"/>
  <c r="U98" i="1" s="1"/>
  <c r="U96" i="1"/>
  <c r="U95" i="1" s="1"/>
  <c r="U54" i="1"/>
  <c r="U53" i="1" s="1"/>
  <c r="U57" i="1"/>
  <c r="U56" i="1" s="1"/>
  <c r="U61" i="1"/>
  <c r="U60" i="1" s="1"/>
  <c r="U59" i="1" s="1"/>
  <c r="U63" i="1"/>
  <c r="U62" i="1" s="1"/>
  <c r="U69" i="1"/>
  <c r="U68" i="1" s="1"/>
  <c r="U72" i="1"/>
  <c r="U71" i="1" s="1"/>
  <c r="U75" i="1"/>
  <c r="U74" i="1" s="1"/>
  <c r="U79" i="1"/>
  <c r="U81" i="1"/>
  <c r="U80" i="1" s="1"/>
  <c r="U84" i="1"/>
  <c r="U83" i="1" s="1"/>
  <c r="U87" i="1"/>
  <c r="U86" i="1" s="1"/>
  <c r="U90" i="1"/>
  <c r="U89" i="1" s="1"/>
  <c r="U93" i="1"/>
  <c r="U92" i="1" s="1"/>
  <c r="U51" i="1"/>
  <c r="U50" i="1" s="1"/>
  <c r="U30" i="1"/>
  <c r="U29" i="1" s="1"/>
  <c r="U33" i="1"/>
  <c r="U32" i="1" s="1"/>
  <c r="U36" i="1"/>
  <c r="U35" i="1" s="1"/>
  <c r="U39" i="1"/>
  <c r="U38" i="1" s="1"/>
  <c r="U42" i="1"/>
  <c r="U41" i="1" s="1"/>
  <c r="U45" i="1"/>
  <c r="U44" i="1" s="1"/>
  <c r="U48" i="1"/>
  <c r="U47" i="1" s="1"/>
  <c r="U21" i="1"/>
  <c r="U20" i="1" s="1"/>
  <c r="U24" i="1"/>
  <c r="U23" i="1" s="1"/>
  <c r="U27" i="1"/>
  <c r="U26" i="1" s="1"/>
  <c r="U18" i="1"/>
  <c r="U17" i="1" s="1"/>
  <c r="U12" i="1"/>
  <c r="U11" i="1" s="1"/>
  <c r="S180" i="1"/>
  <c r="S179" i="1" s="1"/>
  <c r="S162" i="1"/>
  <c r="S161" i="1" s="1"/>
  <c r="T162" i="1"/>
  <c r="T161" i="1" s="1"/>
  <c r="T156" i="1"/>
  <c r="T155" i="1" s="1"/>
  <c r="S156" i="1"/>
  <c r="S155" i="1" s="1"/>
  <c r="S123" i="1"/>
  <c r="S122" i="1" s="1"/>
  <c r="T123" i="1"/>
  <c r="T122" i="1" s="1"/>
  <c r="T105" i="1"/>
  <c r="T104" i="1" s="1"/>
  <c r="S96" i="1"/>
  <c r="S95" i="1" s="1"/>
  <c r="T97" i="1"/>
  <c r="T79" i="1"/>
  <c r="T78" i="1" s="1"/>
  <c r="T77" i="1" s="1"/>
  <c r="S79" i="1"/>
  <c r="S61" i="1"/>
  <c r="T61" i="1"/>
  <c r="T60" i="1" s="1"/>
  <c r="T59" i="1" s="1"/>
  <c r="T33" i="1"/>
  <c r="T32" i="1" s="1"/>
  <c r="S33" i="1"/>
  <c r="S32" i="1" s="1"/>
  <c r="S12" i="1"/>
  <c r="S11" i="1" s="1"/>
  <c r="T12" i="1"/>
  <c r="T11" i="1" s="1"/>
  <c r="G80" i="1"/>
  <c r="S183" i="1"/>
  <c r="S182" i="1" s="1"/>
  <c r="T183" i="1"/>
  <c r="T182" i="1" s="1"/>
  <c r="S168" i="1"/>
  <c r="S167" i="1" s="1"/>
  <c r="T168" i="1"/>
  <c r="T167" i="1" s="1"/>
  <c r="S165" i="1"/>
  <c r="S164" i="1" s="1"/>
  <c r="T165" i="1"/>
  <c r="T164" i="1" s="1"/>
  <c r="S159" i="1"/>
  <c r="S158" i="1" s="1"/>
  <c r="T159" i="1"/>
  <c r="T158" i="1" s="1"/>
  <c r="S153" i="1"/>
  <c r="S152" i="1" s="1"/>
  <c r="T153" i="1"/>
  <c r="T152" i="1" s="1"/>
  <c r="S150" i="1"/>
  <c r="S149" i="1" s="1"/>
  <c r="T150" i="1"/>
  <c r="T149" i="1" s="1"/>
  <c r="S147" i="1"/>
  <c r="S146" i="1" s="1"/>
  <c r="T147" i="1"/>
  <c r="T146" i="1" s="1"/>
  <c r="S144" i="1"/>
  <c r="S143" i="1" s="1"/>
  <c r="T144" i="1"/>
  <c r="T143" i="1" s="1"/>
  <c r="S141" i="1"/>
  <c r="S140" i="1" s="1"/>
  <c r="T141" i="1"/>
  <c r="T140" i="1" s="1"/>
  <c r="S138" i="1"/>
  <c r="S137" i="1" s="1"/>
  <c r="T138" i="1"/>
  <c r="T137" i="1" s="1"/>
  <c r="S135" i="1"/>
  <c r="S134" i="1" s="1"/>
  <c r="T135" i="1"/>
  <c r="T134" i="1" s="1"/>
  <c r="S132" i="1"/>
  <c r="S131" i="1" s="1"/>
  <c r="T132" i="1"/>
  <c r="T131" i="1" s="1"/>
  <c r="S129" i="1"/>
  <c r="S128" i="1" s="1"/>
  <c r="T129" i="1"/>
  <c r="T128" i="1" s="1"/>
  <c r="S126" i="1"/>
  <c r="S125" i="1" s="1"/>
  <c r="T126" i="1"/>
  <c r="T125" i="1" s="1"/>
  <c r="S117" i="1"/>
  <c r="S116" i="1" s="1"/>
  <c r="T117" i="1"/>
  <c r="T116" i="1" s="1"/>
  <c r="S114" i="1"/>
  <c r="S113" i="1" s="1"/>
  <c r="T114" i="1"/>
  <c r="T113" i="1" s="1"/>
  <c r="S111" i="1"/>
  <c r="S110" i="1" s="1"/>
  <c r="T111" i="1"/>
  <c r="T110" i="1" s="1"/>
  <c r="S108" i="1"/>
  <c r="S107" i="1" s="1"/>
  <c r="T108" i="1"/>
  <c r="T107" i="1" s="1"/>
  <c r="S102" i="1"/>
  <c r="S101" i="1" s="1"/>
  <c r="T102" i="1"/>
  <c r="T101" i="1" s="1"/>
  <c r="S99" i="1"/>
  <c r="S98" i="1" s="1"/>
  <c r="T99" i="1"/>
  <c r="T98" i="1" s="1"/>
  <c r="S93" i="1"/>
  <c r="S92" i="1" s="1"/>
  <c r="T93" i="1"/>
  <c r="T92" i="1" s="1"/>
  <c r="S90" i="1"/>
  <c r="S89" i="1" s="1"/>
  <c r="T90" i="1"/>
  <c r="T89" i="1" s="1"/>
  <c r="S87" i="1"/>
  <c r="S86" i="1" s="1"/>
  <c r="T87" i="1"/>
  <c r="T86" i="1" s="1"/>
  <c r="S84" i="1"/>
  <c r="S83" i="1" s="1"/>
  <c r="T84" i="1"/>
  <c r="T83" i="1" s="1"/>
  <c r="S81" i="1"/>
  <c r="S80" i="1" s="1"/>
  <c r="T81" i="1"/>
  <c r="T80" i="1" s="1"/>
  <c r="S75" i="1"/>
  <c r="S74" i="1" s="1"/>
  <c r="T75" i="1"/>
  <c r="T74" i="1" s="1"/>
  <c r="S72" i="1"/>
  <c r="S71" i="1" s="1"/>
  <c r="T72" i="1"/>
  <c r="T71" i="1" s="1"/>
  <c r="S69" i="1"/>
  <c r="S68" i="1" s="1"/>
  <c r="T69" i="1"/>
  <c r="T68" i="1" s="1"/>
  <c r="S66" i="1"/>
  <c r="S65" i="1" s="1"/>
  <c r="T66" i="1"/>
  <c r="T65" i="1" s="1"/>
  <c r="S63" i="1"/>
  <c r="S62" i="1" s="1"/>
  <c r="T63" i="1"/>
  <c r="T62" i="1" s="1"/>
  <c r="S57" i="1"/>
  <c r="S56" i="1" s="1"/>
  <c r="T57" i="1"/>
  <c r="T56" i="1" s="1"/>
  <c r="S54" i="1"/>
  <c r="S53" i="1" s="1"/>
  <c r="T54" i="1"/>
  <c r="T53" i="1" s="1"/>
  <c r="S51" i="1"/>
  <c r="S50" i="1" s="1"/>
  <c r="T51" i="1"/>
  <c r="T50" i="1" s="1"/>
  <c r="S48" i="1"/>
  <c r="S47" i="1" s="1"/>
  <c r="T48" i="1"/>
  <c r="T47" i="1" s="1"/>
  <c r="S45" i="1"/>
  <c r="S44" i="1" s="1"/>
  <c r="T45" i="1"/>
  <c r="T44" i="1" s="1"/>
  <c r="S42" i="1"/>
  <c r="S41" i="1" s="1"/>
  <c r="T42" i="1"/>
  <c r="T41" i="1" s="1"/>
  <c r="S39" i="1"/>
  <c r="S38" i="1" s="1"/>
  <c r="T39" i="1"/>
  <c r="T38" i="1" s="1"/>
  <c r="S36" i="1"/>
  <c r="S35" i="1" s="1"/>
  <c r="T36" i="1"/>
  <c r="T35" i="1" s="1"/>
  <c r="S30" i="1"/>
  <c r="S29" i="1" s="1"/>
  <c r="T30" i="1"/>
  <c r="T29" i="1" s="1"/>
  <c r="S27" i="1"/>
  <c r="S26" i="1" s="1"/>
  <c r="T27" i="1"/>
  <c r="T26" i="1" s="1"/>
  <c r="S24" i="1"/>
  <c r="S23" i="1" s="1"/>
  <c r="T24" i="1"/>
  <c r="T23" i="1" s="1"/>
  <c r="S21" i="1"/>
  <c r="S20" i="1" s="1"/>
  <c r="T21" i="1"/>
  <c r="T20" i="1" s="1"/>
  <c r="S18" i="1"/>
  <c r="S17" i="1" s="1"/>
  <c r="T18" i="1"/>
  <c r="T17" i="1" s="1"/>
  <c r="S15" i="1"/>
  <c r="S14" i="1" s="1"/>
  <c r="T15" i="1"/>
  <c r="T14" i="1" s="1"/>
  <c r="R97" i="1" l="1"/>
  <c r="S60" i="1"/>
  <c r="S59" i="1" s="1"/>
  <c r="R61" i="1"/>
  <c r="S78" i="1"/>
  <c r="S77" i="1" s="1"/>
  <c r="R79" i="1"/>
  <c r="U78" i="1"/>
  <c r="U77" i="1" s="1"/>
  <c r="U199" i="1"/>
  <c r="U198" i="1" s="1"/>
  <c r="U197" i="1" s="1"/>
  <c r="S199" i="1"/>
  <c r="S201" i="1" s="1"/>
  <c r="T199" i="1"/>
  <c r="T198" i="1" s="1"/>
  <c r="T197" i="1" s="1"/>
  <c r="I124" i="1"/>
  <c r="T96" i="1"/>
  <c r="T95" i="1" s="1"/>
  <c r="S105" i="1"/>
  <c r="S104" i="1" s="1"/>
  <c r="S198" i="1" l="1"/>
  <c r="S197" i="1" s="1"/>
  <c r="R199" i="1"/>
  <c r="G125" i="1"/>
  <c r="G128" i="1"/>
  <c r="G131" i="1"/>
  <c r="G134" i="1"/>
  <c r="K139" i="1" l="1"/>
  <c r="L139" i="1" s="1"/>
  <c r="N154" i="1"/>
  <c r="M154" i="1" s="1"/>
  <c r="L138" i="1" l="1"/>
  <c r="L137" i="1" s="1"/>
  <c r="L124" i="1"/>
  <c r="K124" i="1"/>
  <c r="N124" i="1"/>
  <c r="M124" i="1" s="1"/>
  <c r="L123" i="1" l="1"/>
  <c r="L122" i="1" s="1"/>
  <c r="K112" i="1"/>
  <c r="K106" i="1" l="1"/>
  <c r="K37" i="1"/>
  <c r="K34" i="1" s="1"/>
  <c r="W36" i="1"/>
  <c r="K138" i="1" l="1"/>
  <c r="K137" i="1" s="1"/>
  <c r="K57" i="1"/>
  <c r="K56" i="1" s="1"/>
  <c r="K48" i="1"/>
  <c r="K47" i="1" s="1"/>
  <c r="K42" i="1"/>
  <c r="K41" i="1" s="1"/>
  <c r="L39" i="1"/>
  <c r="L38" i="1" s="1"/>
  <c r="K36" i="1"/>
  <c r="K35" i="1" s="1"/>
  <c r="L16" i="1"/>
  <c r="K27" i="1"/>
  <c r="K26" i="1" s="1"/>
  <c r="K12" i="1"/>
  <c r="K11" i="1" s="1"/>
  <c r="K183" i="1"/>
  <c r="K182" i="1" s="1"/>
  <c r="K180" i="1"/>
  <c r="K179" i="1" s="1"/>
  <c r="K168" i="1"/>
  <c r="K167" i="1" s="1"/>
  <c r="J168" i="1"/>
  <c r="J167" i="1" s="1"/>
  <c r="K165" i="1"/>
  <c r="K164" i="1" s="1"/>
  <c r="K162" i="1"/>
  <c r="K161" i="1" s="1"/>
  <c r="K159" i="1"/>
  <c r="K158" i="1" s="1"/>
  <c r="K156" i="1"/>
  <c r="K155" i="1" s="1"/>
  <c r="K153" i="1"/>
  <c r="K152" i="1" s="1"/>
  <c r="K150" i="1"/>
  <c r="K149" i="1" s="1"/>
  <c r="K147" i="1"/>
  <c r="K146" i="1" s="1"/>
  <c r="K144" i="1"/>
  <c r="K143" i="1" s="1"/>
  <c r="K141" i="1"/>
  <c r="K140" i="1" s="1"/>
  <c r="K135" i="1"/>
  <c r="K134" i="1" s="1"/>
  <c r="K132" i="1"/>
  <c r="K131" i="1" s="1"/>
  <c r="K129" i="1"/>
  <c r="K128" i="1" s="1"/>
  <c r="K126" i="1"/>
  <c r="K125" i="1" s="1"/>
  <c r="K123" i="1"/>
  <c r="K122" i="1" s="1"/>
  <c r="K117" i="1"/>
  <c r="K116" i="1" s="1"/>
  <c r="K114" i="1"/>
  <c r="K113" i="1" s="1"/>
  <c r="K111" i="1"/>
  <c r="K110" i="1" s="1"/>
  <c r="K108" i="1"/>
  <c r="K107" i="1" s="1"/>
  <c r="K105" i="1"/>
  <c r="K104" i="1" s="1"/>
  <c r="K102" i="1"/>
  <c r="K101" i="1" s="1"/>
  <c r="L37" i="1"/>
  <c r="L31" i="1"/>
  <c r="L30" i="1" s="1"/>
  <c r="L29" i="1" s="1"/>
  <c r="L28" i="1"/>
  <c r="L27" i="1" s="1"/>
  <c r="L26" i="1" s="1"/>
  <c r="L25" i="1"/>
  <c r="L24" i="1" s="1"/>
  <c r="L23" i="1" s="1"/>
  <c r="L22" i="1"/>
  <c r="L21" i="1" s="1"/>
  <c r="L20" i="1" s="1"/>
  <c r="L19" i="1"/>
  <c r="L18" i="1" s="1"/>
  <c r="L17" i="1" s="1"/>
  <c r="K99" i="1"/>
  <c r="K98" i="1" s="1"/>
  <c r="K97" i="1"/>
  <c r="K81" i="1"/>
  <c r="K80" i="1" s="1"/>
  <c r="K84" i="1"/>
  <c r="K83" i="1" s="1"/>
  <c r="K87" i="1"/>
  <c r="K86" i="1" s="1"/>
  <c r="K93" i="1"/>
  <c r="K92" i="1" s="1"/>
  <c r="K79" i="1"/>
  <c r="K78" i="1" s="1"/>
  <c r="K77" i="1" s="1"/>
  <c r="K75" i="1"/>
  <c r="K74" i="1" s="1"/>
  <c r="K69" i="1"/>
  <c r="K68" i="1" s="1"/>
  <c r="K72" i="1"/>
  <c r="K71" i="1" s="1"/>
  <c r="K63" i="1"/>
  <c r="K62" i="1" s="1"/>
  <c r="K66" i="1"/>
  <c r="K65" i="1" s="1"/>
  <c r="K61" i="1"/>
  <c r="K60" i="1" s="1"/>
  <c r="K59" i="1" s="1"/>
  <c r="K54" i="1"/>
  <c r="K53" i="1" s="1"/>
  <c r="K51" i="1"/>
  <c r="K50" i="1" s="1"/>
  <c r="K45" i="1"/>
  <c r="K44" i="1" s="1"/>
  <c r="K39" i="1"/>
  <c r="K38" i="1" s="1"/>
  <c r="K33" i="1"/>
  <c r="K32" i="1" s="1"/>
  <c r="K15" i="1"/>
  <c r="K14" i="1" s="1"/>
  <c r="K30" i="1"/>
  <c r="K29" i="1" s="1"/>
  <c r="K24" i="1"/>
  <c r="K23" i="1" s="1"/>
  <c r="K21" i="1"/>
  <c r="K20" i="1" s="1"/>
  <c r="K18" i="1"/>
  <c r="K17" i="1" s="1"/>
  <c r="K96" i="1" l="1"/>
  <c r="K95" i="1" s="1"/>
  <c r="K199" i="1"/>
  <c r="K198" i="1" s="1"/>
  <c r="K197" i="1" s="1"/>
  <c r="L15" i="1"/>
  <c r="L14" i="1" s="1"/>
  <c r="L13" i="1"/>
  <c r="L12" i="1" s="1"/>
  <c r="L11" i="1" s="1"/>
  <c r="L36" i="1"/>
  <c r="L35" i="1" s="1"/>
  <c r="L34" i="1"/>
  <c r="R63" i="1"/>
  <c r="L33" i="1" l="1"/>
  <c r="L32" i="1" s="1"/>
  <c r="M15" i="1"/>
  <c r="M14" i="1" s="1"/>
  <c r="M18" i="1"/>
  <c r="M17" i="1" s="1"/>
  <c r="M21" i="1"/>
  <c r="M20" i="1" s="1"/>
  <c r="G14" i="1"/>
  <c r="G17" i="1"/>
  <c r="G20" i="1"/>
  <c r="G23" i="1"/>
  <c r="G26" i="1"/>
  <c r="G29" i="1"/>
  <c r="G35" i="1"/>
  <c r="G38" i="1"/>
  <c r="G41" i="1"/>
  <c r="G44" i="1"/>
  <c r="G47" i="1"/>
  <c r="G50" i="1"/>
  <c r="G53" i="1"/>
  <c r="G56" i="1"/>
  <c r="O61" i="1"/>
  <c r="P61" i="1"/>
  <c r="R66" i="1"/>
  <c r="R65" i="1" s="1"/>
  <c r="W63" i="1"/>
  <c r="W62" i="1" s="1"/>
  <c r="R62" i="1"/>
  <c r="G62" i="1"/>
  <c r="G68" i="1"/>
  <c r="O79" i="1"/>
  <c r="P79" i="1"/>
  <c r="Q79" i="1"/>
  <c r="W79" i="1"/>
  <c r="V79" i="1" s="1"/>
  <c r="V78" i="1" s="1"/>
  <c r="V77" i="1" s="1"/>
  <c r="G83" i="1"/>
  <c r="G86" i="1"/>
  <c r="G89" i="1"/>
  <c r="G92" i="1"/>
  <c r="G98" i="1"/>
  <c r="G107" i="1"/>
  <c r="J97" i="1"/>
  <c r="N97" i="1"/>
  <c r="O97" i="1"/>
  <c r="P97" i="1"/>
  <c r="Q97" i="1"/>
  <c r="W97" i="1"/>
  <c r="V97" i="1" s="1"/>
  <c r="G101" i="1"/>
  <c r="G110" i="1"/>
  <c r="G113" i="1"/>
  <c r="G116" i="1"/>
  <c r="G137" i="1"/>
  <c r="G140" i="1"/>
  <c r="G143" i="1"/>
  <c r="G146" i="1"/>
  <c r="G149" i="1"/>
  <c r="G152" i="1"/>
  <c r="R156" i="1"/>
  <c r="R155" i="1" s="1"/>
  <c r="G158" i="1"/>
  <c r="G182" i="1"/>
  <c r="G167" i="1"/>
  <c r="G164" i="1"/>
  <c r="G161" i="1"/>
  <c r="V96" i="1" l="1"/>
  <c r="V95" i="1" s="1"/>
  <c r="M97" i="1"/>
  <c r="O199" i="1"/>
  <c r="M37" i="1"/>
  <c r="P37" i="1" l="1"/>
  <c r="P34" i="1" s="1"/>
  <c r="P199" i="1" l="1"/>
  <c r="M34" i="1"/>
  <c r="M36" i="1"/>
  <c r="I97" i="1" l="1"/>
  <c r="O183" i="1" l="1"/>
  <c r="O182" i="1" s="1"/>
  <c r="O168" i="1"/>
  <c r="O167" i="1" s="1"/>
  <c r="O165" i="1"/>
  <c r="O164" i="1" s="1"/>
  <c r="O162" i="1"/>
  <c r="O161" i="1" s="1"/>
  <c r="O159" i="1"/>
  <c r="O158" i="1" s="1"/>
  <c r="O156" i="1"/>
  <c r="O155" i="1" s="1"/>
  <c r="O153" i="1"/>
  <c r="O152" i="1" s="1"/>
  <c r="O150" i="1"/>
  <c r="O149" i="1" s="1"/>
  <c r="O147" i="1"/>
  <c r="O146" i="1" s="1"/>
  <c r="O144" i="1"/>
  <c r="O143" i="1" s="1"/>
  <c r="O141" i="1"/>
  <c r="O140" i="1" s="1"/>
  <c r="O138" i="1"/>
  <c r="O137" i="1" s="1"/>
  <c r="O135" i="1"/>
  <c r="O134" i="1" s="1"/>
  <c r="O132" i="1"/>
  <c r="O131" i="1" s="1"/>
  <c r="O129" i="1"/>
  <c r="O128" i="1" s="1"/>
  <c r="O126" i="1"/>
  <c r="O125" i="1" s="1"/>
  <c r="O123" i="1"/>
  <c r="O122" i="1" s="1"/>
  <c r="O117" i="1"/>
  <c r="O116" i="1" s="1"/>
  <c r="O114" i="1"/>
  <c r="O113" i="1" s="1"/>
  <c r="O111" i="1"/>
  <c r="O110" i="1" s="1"/>
  <c r="O108" i="1"/>
  <c r="O107" i="1" s="1"/>
  <c r="O102" i="1"/>
  <c r="O101" i="1" s="1"/>
  <c r="O99" i="1"/>
  <c r="O98" i="1" s="1"/>
  <c r="O96" i="1"/>
  <c r="O95" i="1" s="1"/>
  <c r="O93" i="1"/>
  <c r="O92" i="1" s="1"/>
  <c r="O90" i="1"/>
  <c r="O89" i="1" s="1"/>
  <c r="O87" i="1"/>
  <c r="O86" i="1" s="1"/>
  <c r="O84" i="1"/>
  <c r="O83" i="1" s="1"/>
  <c r="O81" i="1"/>
  <c r="O80" i="1" s="1"/>
  <c r="O78" i="1"/>
  <c r="O77" i="1" s="1"/>
  <c r="O75" i="1"/>
  <c r="O74" i="1" s="1"/>
  <c r="O72" i="1"/>
  <c r="O71" i="1" s="1"/>
  <c r="O69" i="1"/>
  <c r="O68" i="1" s="1"/>
  <c r="O66" i="1"/>
  <c r="O65" i="1" s="1"/>
  <c r="O63" i="1"/>
  <c r="O62" i="1" s="1"/>
  <c r="O54" i="1"/>
  <c r="O53" i="1" s="1"/>
  <c r="O60" i="1"/>
  <c r="O59" i="1" s="1"/>
  <c r="O57" i="1"/>
  <c r="O56" i="1" s="1"/>
  <c r="O51" i="1"/>
  <c r="O50" i="1" s="1"/>
  <c r="O48" i="1"/>
  <c r="O47" i="1" s="1"/>
  <c r="O45" i="1"/>
  <c r="O44" i="1" s="1"/>
  <c r="O42" i="1"/>
  <c r="O41" i="1" s="1"/>
  <c r="O39" i="1"/>
  <c r="O38" i="1" s="1"/>
  <c r="O36" i="1"/>
  <c r="O35" i="1" s="1"/>
  <c r="O30" i="1"/>
  <c r="O29" i="1" s="1"/>
  <c r="O27" i="1"/>
  <c r="O26" i="1" s="1"/>
  <c r="O24" i="1"/>
  <c r="O23" i="1" s="1"/>
  <c r="O21" i="1"/>
  <c r="O20" i="1" s="1"/>
  <c r="O18" i="1"/>
  <c r="O17" i="1" s="1"/>
  <c r="O15" i="1"/>
  <c r="O14" i="1" s="1"/>
  <c r="J180" i="1" l="1"/>
  <c r="J179" i="1" s="1"/>
  <c r="O180" i="1"/>
  <c r="O179" i="1" s="1"/>
  <c r="I180" i="1"/>
  <c r="I179" i="1" s="1"/>
  <c r="J156" i="1"/>
  <c r="J155" i="1" s="1"/>
  <c r="I156" i="1"/>
  <c r="I155" i="1" s="1"/>
  <c r="J123" i="1"/>
  <c r="J122" i="1" s="1"/>
  <c r="I150" i="1"/>
  <c r="I149" i="1" s="1"/>
  <c r="I153" i="1"/>
  <c r="I152" i="1" s="1"/>
  <c r="O105" i="1"/>
  <c r="O104" i="1" s="1"/>
  <c r="I105" i="1"/>
  <c r="I104" i="1" s="1"/>
  <c r="J79" i="1"/>
  <c r="J78" i="1" s="1"/>
  <c r="J77" i="1" s="1"/>
  <c r="I79" i="1"/>
  <c r="J61" i="1"/>
  <c r="I60" i="1"/>
  <c r="I59" i="1" s="1"/>
  <c r="O33" i="1"/>
  <c r="O32" i="1" s="1"/>
  <c r="O12" i="1"/>
  <c r="O11" i="1" s="1"/>
  <c r="J33" i="1"/>
  <c r="I183" i="1"/>
  <c r="I182" i="1" s="1"/>
  <c r="I168" i="1"/>
  <c r="I167" i="1" s="1"/>
  <c r="I165" i="1"/>
  <c r="I164" i="1" s="1"/>
  <c r="I162" i="1"/>
  <c r="I161" i="1" s="1"/>
  <c r="I159" i="1"/>
  <c r="I158" i="1" s="1"/>
  <c r="J183" i="1"/>
  <c r="J182" i="1" s="1"/>
  <c r="J165" i="1"/>
  <c r="J164" i="1" s="1"/>
  <c r="J162" i="1"/>
  <c r="J161" i="1" s="1"/>
  <c r="J159" i="1"/>
  <c r="J158" i="1" s="1"/>
  <c r="J153" i="1"/>
  <c r="J152" i="1" s="1"/>
  <c r="J150" i="1"/>
  <c r="J149" i="1" s="1"/>
  <c r="J147" i="1"/>
  <c r="J146" i="1" s="1"/>
  <c r="J144" i="1"/>
  <c r="J143" i="1" s="1"/>
  <c r="J141" i="1"/>
  <c r="J140" i="1" s="1"/>
  <c r="I147" i="1"/>
  <c r="I146" i="1" s="1"/>
  <c r="I144" i="1"/>
  <c r="I143" i="1" s="1"/>
  <c r="I141" i="1"/>
  <c r="I140" i="1" s="1"/>
  <c r="J138" i="1"/>
  <c r="J137" i="1" s="1"/>
  <c r="I138" i="1"/>
  <c r="I137" i="1" s="1"/>
  <c r="J135" i="1"/>
  <c r="J134" i="1" s="1"/>
  <c r="I135" i="1"/>
  <c r="I134" i="1" s="1"/>
  <c r="J132" i="1"/>
  <c r="J131" i="1" s="1"/>
  <c r="I132" i="1"/>
  <c r="I131" i="1" s="1"/>
  <c r="J129" i="1"/>
  <c r="J128" i="1" s="1"/>
  <c r="I129" i="1"/>
  <c r="I128" i="1" s="1"/>
  <c r="J126" i="1"/>
  <c r="J125" i="1" s="1"/>
  <c r="I126" i="1"/>
  <c r="I125" i="1" s="1"/>
  <c r="J117" i="1"/>
  <c r="J116" i="1" s="1"/>
  <c r="I117" i="1"/>
  <c r="I116" i="1" s="1"/>
  <c r="J114" i="1"/>
  <c r="J113" i="1" s="1"/>
  <c r="I114" i="1"/>
  <c r="I113" i="1" s="1"/>
  <c r="I111" i="1"/>
  <c r="I110" i="1" s="1"/>
  <c r="J108" i="1"/>
  <c r="J107" i="1" s="1"/>
  <c r="I108" i="1"/>
  <c r="I107" i="1" s="1"/>
  <c r="J102" i="1"/>
  <c r="J101" i="1" s="1"/>
  <c r="I102" i="1"/>
  <c r="I101" i="1" s="1"/>
  <c r="J99" i="1"/>
  <c r="J98" i="1" s="1"/>
  <c r="I99" i="1"/>
  <c r="I98" i="1" s="1"/>
  <c r="J96" i="1"/>
  <c r="J95" i="1" s="1"/>
  <c r="I96" i="1"/>
  <c r="I95" i="1" s="1"/>
  <c r="J93" i="1"/>
  <c r="J92" i="1" s="1"/>
  <c r="I93" i="1"/>
  <c r="I92" i="1" s="1"/>
  <c r="I90" i="1"/>
  <c r="I89" i="1" s="1"/>
  <c r="J87" i="1"/>
  <c r="J86" i="1" s="1"/>
  <c r="I87" i="1"/>
  <c r="I86" i="1" s="1"/>
  <c r="J84" i="1"/>
  <c r="J83" i="1" s="1"/>
  <c r="I84" i="1"/>
  <c r="I83" i="1" s="1"/>
  <c r="J81" i="1"/>
  <c r="J80" i="1" s="1"/>
  <c r="I81" i="1"/>
  <c r="I80" i="1" s="1"/>
  <c r="J75" i="1"/>
  <c r="J74" i="1" s="1"/>
  <c r="I75" i="1"/>
  <c r="I74" i="1" s="1"/>
  <c r="J72" i="1"/>
  <c r="J71" i="1" s="1"/>
  <c r="I72" i="1"/>
  <c r="I71" i="1" s="1"/>
  <c r="J69" i="1"/>
  <c r="J68" i="1" s="1"/>
  <c r="I69" i="1"/>
  <c r="I68" i="1" s="1"/>
  <c r="J66" i="1"/>
  <c r="J65" i="1" s="1"/>
  <c r="I66" i="1"/>
  <c r="I65" i="1" s="1"/>
  <c r="J63" i="1"/>
  <c r="J62" i="1" s="1"/>
  <c r="I63" i="1"/>
  <c r="I62" i="1" s="1"/>
  <c r="J57" i="1"/>
  <c r="J56" i="1" s="1"/>
  <c r="I57" i="1"/>
  <c r="I56" i="1" s="1"/>
  <c r="J54" i="1"/>
  <c r="J53" i="1" s="1"/>
  <c r="I54" i="1"/>
  <c r="I53" i="1" s="1"/>
  <c r="J51" i="1"/>
  <c r="J50" i="1" s="1"/>
  <c r="I51" i="1"/>
  <c r="I50" i="1" s="1"/>
  <c r="J48" i="1"/>
  <c r="J47" i="1" s="1"/>
  <c r="I48" i="1"/>
  <c r="I47" i="1" s="1"/>
  <c r="J45" i="1"/>
  <c r="J44" i="1" s="1"/>
  <c r="I45" i="1"/>
  <c r="I44" i="1" s="1"/>
  <c r="J42" i="1"/>
  <c r="J41" i="1" s="1"/>
  <c r="I42" i="1"/>
  <c r="I41" i="1" s="1"/>
  <c r="J39" i="1"/>
  <c r="J38" i="1" s="1"/>
  <c r="I78" i="1" l="1"/>
  <c r="I77" i="1" s="1"/>
  <c r="I199" i="1"/>
  <c r="I201" i="1" s="1"/>
  <c r="J60" i="1"/>
  <c r="J59" i="1" s="1"/>
  <c r="I123" i="1"/>
  <c r="I122" i="1" s="1"/>
  <c r="O198" i="1"/>
  <c r="O197" i="1" s="1"/>
  <c r="I39" i="1"/>
  <c r="I38" i="1" s="1"/>
  <c r="J36" i="1"/>
  <c r="J35" i="1" s="1"/>
  <c r="I36" i="1"/>
  <c r="I35" i="1" s="1"/>
  <c r="J32" i="1"/>
  <c r="I33" i="1"/>
  <c r="I32" i="1" s="1"/>
  <c r="J30" i="1"/>
  <c r="J29" i="1" s="1"/>
  <c r="I30" i="1"/>
  <c r="I29" i="1" s="1"/>
  <c r="J27" i="1"/>
  <c r="J26" i="1" s="1"/>
  <c r="I27" i="1"/>
  <c r="I26" i="1" s="1"/>
  <c r="J24" i="1"/>
  <c r="J23" i="1" s="1"/>
  <c r="I24" i="1"/>
  <c r="I23" i="1" s="1"/>
  <c r="I21" i="1"/>
  <c r="I20" i="1" s="1"/>
  <c r="J21" i="1"/>
  <c r="J20" i="1" s="1"/>
  <c r="J18" i="1"/>
  <c r="J17" i="1" s="1"/>
  <c r="I18" i="1"/>
  <c r="I17" i="1" s="1"/>
  <c r="J15" i="1"/>
  <c r="J14" i="1" s="1"/>
  <c r="I15" i="1"/>
  <c r="I14" i="1" s="1"/>
  <c r="P15" i="1" l="1"/>
  <c r="P14" i="1" s="1"/>
  <c r="Q15" i="1"/>
  <c r="Q14" i="1" s="1"/>
  <c r="R15" i="1"/>
  <c r="R14" i="1" s="1"/>
  <c r="W15" i="1"/>
  <c r="W14" i="1" s="1"/>
  <c r="N15" i="1"/>
  <c r="N14" i="1" s="1"/>
  <c r="P18" i="1"/>
  <c r="P17" i="1" s="1"/>
  <c r="Q18" i="1"/>
  <c r="Q17" i="1" s="1"/>
  <c r="R18" i="1"/>
  <c r="R17" i="1" s="1"/>
  <c r="W18" i="1"/>
  <c r="W17" i="1" s="1"/>
  <c r="N18" i="1"/>
  <c r="N17" i="1" s="1"/>
  <c r="N21" i="1"/>
  <c r="N20" i="1" s="1"/>
  <c r="P21" i="1"/>
  <c r="P20" i="1" s="1"/>
  <c r="Q21" i="1"/>
  <c r="Q20" i="1" s="1"/>
  <c r="R21" i="1"/>
  <c r="R20" i="1" s="1"/>
  <c r="W21" i="1"/>
  <c r="W20" i="1" s="1"/>
  <c r="N24" i="1"/>
  <c r="N23" i="1" s="1"/>
  <c r="P24" i="1"/>
  <c r="P23" i="1" s="1"/>
  <c r="Q24" i="1"/>
  <c r="Q23" i="1" s="1"/>
  <c r="R24" i="1"/>
  <c r="R23" i="1" s="1"/>
  <c r="W24" i="1"/>
  <c r="W23" i="1" s="1"/>
  <c r="M24" i="1"/>
  <c r="M23" i="1" s="1"/>
  <c r="W27" i="1"/>
  <c r="W26" i="1" s="1"/>
  <c r="R27" i="1"/>
  <c r="R26" i="1" s="1"/>
  <c r="Q27" i="1"/>
  <c r="Q26" i="1" s="1"/>
  <c r="P27" i="1"/>
  <c r="P26" i="1" s="1"/>
  <c r="N27" i="1"/>
  <c r="N26" i="1" s="1"/>
  <c r="M27" i="1"/>
  <c r="M26" i="1" s="1"/>
  <c r="W30" i="1"/>
  <c r="W29" i="1" s="1"/>
  <c r="R30" i="1"/>
  <c r="R29" i="1" s="1"/>
  <c r="N30" i="1"/>
  <c r="N29" i="1" s="1"/>
  <c r="P30" i="1"/>
  <c r="P29" i="1" s="1"/>
  <c r="Q30" i="1"/>
  <c r="Q29" i="1" s="1"/>
  <c r="M30" i="1"/>
  <c r="M29" i="1" s="1"/>
  <c r="R36" i="1"/>
  <c r="R35" i="1" s="1"/>
  <c r="W35" i="1"/>
  <c r="Q36" i="1"/>
  <c r="Q35" i="1" s="1"/>
  <c r="N36" i="1"/>
  <c r="N35" i="1" s="1"/>
  <c r="R33" i="1"/>
  <c r="R32" i="1" s="1"/>
  <c r="W33" i="1"/>
  <c r="W32" i="1" s="1"/>
  <c r="P39" i="1"/>
  <c r="P38" i="1" s="1"/>
  <c r="Q39" i="1"/>
  <c r="Q38" i="1" s="1"/>
  <c r="R39" i="1"/>
  <c r="R38" i="1" s="1"/>
  <c r="W39" i="1"/>
  <c r="W38" i="1" s="1"/>
  <c r="N39" i="1"/>
  <c r="N38" i="1" s="1"/>
  <c r="M39" i="1"/>
  <c r="M38" i="1" s="1"/>
  <c r="R42" i="1"/>
  <c r="R41" i="1" s="1"/>
  <c r="W42" i="1"/>
  <c r="W41" i="1" s="1"/>
  <c r="Q42" i="1"/>
  <c r="Q41" i="1" s="1"/>
  <c r="P42" i="1"/>
  <c r="P41" i="1" s="1"/>
  <c r="N42" i="1"/>
  <c r="N41" i="1" s="1"/>
  <c r="P45" i="1"/>
  <c r="P44" i="1" s="1"/>
  <c r="Q45" i="1"/>
  <c r="Q44" i="1" s="1"/>
  <c r="R45" i="1"/>
  <c r="R44" i="1" s="1"/>
  <c r="W45" i="1"/>
  <c r="W44" i="1" s="1"/>
  <c r="N45" i="1"/>
  <c r="N44" i="1" s="1"/>
  <c r="M45" i="1"/>
  <c r="M44" i="1" s="1"/>
  <c r="Q48" i="1"/>
  <c r="Q47" i="1" s="1"/>
  <c r="R48" i="1"/>
  <c r="R47" i="1" s="1"/>
  <c r="W48" i="1"/>
  <c r="W47" i="1" s="1"/>
  <c r="P48" i="1"/>
  <c r="P47" i="1" s="1"/>
  <c r="N48" i="1"/>
  <c r="N47" i="1" s="1"/>
  <c r="Q51" i="1"/>
  <c r="Q50" i="1" s="1"/>
  <c r="R51" i="1"/>
  <c r="R50" i="1" s="1"/>
  <c r="W51" i="1"/>
  <c r="W50" i="1" s="1"/>
  <c r="P51" i="1"/>
  <c r="P50" i="1" s="1"/>
  <c r="N51" i="1"/>
  <c r="N50" i="1" s="1"/>
  <c r="M51" i="1"/>
  <c r="M50" i="1" s="1"/>
  <c r="W54" i="1"/>
  <c r="W53" i="1" s="1"/>
  <c r="R54" i="1"/>
  <c r="R53" i="1" s="1"/>
  <c r="Q53" i="1"/>
  <c r="P54" i="1"/>
  <c r="P53" i="1" s="1"/>
  <c r="N54" i="1"/>
  <c r="N53" i="1" s="1"/>
  <c r="M54" i="1"/>
  <c r="M53" i="1" s="1"/>
  <c r="W57" i="1"/>
  <c r="W56" i="1" s="1"/>
  <c r="R57" i="1"/>
  <c r="R56" i="1" s="1"/>
  <c r="Q57" i="1"/>
  <c r="Q56" i="1" s="1"/>
  <c r="P57" i="1"/>
  <c r="P56" i="1" s="1"/>
  <c r="N57" i="1"/>
  <c r="N56" i="1" s="1"/>
  <c r="M111" i="1"/>
  <c r="M110" i="1" s="1"/>
  <c r="W183" i="1"/>
  <c r="W182" i="1" s="1"/>
  <c r="R183" i="1"/>
  <c r="R182" i="1" s="1"/>
  <c r="Q183" i="1"/>
  <c r="Q182" i="1" s="1"/>
  <c r="P183" i="1"/>
  <c r="P182" i="1" s="1"/>
  <c r="N183" i="1"/>
  <c r="N182" i="1" s="1"/>
  <c r="M183" i="1"/>
  <c r="M182" i="1" s="1"/>
  <c r="W180" i="1"/>
  <c r="W179" i="1" s="1"/>
  <c r="R180" i="1"/>
  <c r="R179" i="1" s="1"/>
  <c r="Q180" i="1"/>
  <c r="Q179" i="1" s="1"/>
  <c r="P180" i="1"/>
  <c r="P179" i="1" s="1"/>
  <c r="N180" i="1"/>
  <c r="N179" i="1" s="1"/>
  <c r="M180" i="1"/>
  <c r="M179" i="1" s="1"/>
  <c r="W168" i="1"/>
  <c r="W167" i="1" s="1"/>
  <c r="R168" i="1"/>
  <c r="R167" i="1" s="1"/>
  <c r="Q168" i="1"/>
  <c r="Q167" i="1" s="1"/>
  <c r="P168" i="1"/>
  <c r="P167" i="1" s="1"/>
  <c r="N168" i="1"/>
  <c r="N167" i="1" s="1"/>
  <c r="M168" i="1"/>
  <c r="M167" i="1" s="1"/>
  <c r="W165" i="1"/>
  <c r="W164" i="1" s="1"/>
  <c r="R165" i="1"/>
  <c r="R164" i="1" s="1"/>
  <c r="Q165" i="1"/>
  <c r="Q164" i="1" s="1"/>
  <c r="P165" i="1"/>
  <c r="P164" i="1" s="1"/>
  <c r="N165" i="1"/>
  <c r="N164" i="1" s="1"/>
  <c r="M165" i="1"/>
  <c r="M164" i="1" s="1"/>
  <c r="W162" i="1"/>
  <c r="W161" i="1" s="1"/>
  <c r="R162" i="1"/>
  <c r="R161" i="1" s="1"/>
  <c r="Q162" i="1"/>
  <c r="Q161" i="1" s="1"/>
  <c r="P162" i="1"/>
  <c r="P161" i="1" s="1"/>
  <c r="N162" i="1"/>
  <c r="N161" i="1" s="1"/>
  <c r="M162" i="1"/>
  <c r="M161" i="1" s="1"/>
  <c r="W159" i="1"/>
  <c r="W158" i="1" s="1"/>
  <c r="R159" i="1"/>
  <c r="R158" i="1" s="1"/>
  <c r="Q159" i="1"/>
  <c r="Q158" i="1" s="1"/>
  <c r="P159" i="1"/>
  <c r="P158" i="1" s="1"/>
  <c r="N159" i="1"/>
  <c r="N158" i="1" s="1"/>
  <c r="M159" i="1"/>
  <c r="M158" i="1" s="1"/>
  <c r="W156" i="1"/>
  <c r="W155" i="1" s="1"/>
  <c r="W153" i="1"/>
  <c r="W152" i="1" s="1"/>
  <c r="R153" i="1"/>
  <c r="R152" i="1" s="1"/>
  <c r="P153" i="1"/>
  <c r="P152" i="1" s="1"/>
  <c r="N153" i="1"/>
  <c r="N152" i="1" s="1"/>
  <c r="M153" i="1"/>
  <c r="M152" i="1" s="1"/>
  <c r="W150" i="1"/>
  <c r="W149" i="1" s="1"/>
  <c r="R150" i="1"/>
  <c r="R149" i="1" s="1"/>
  <c r="Q150" i="1"/>
  <c r="Q149" i="1" s="1"/>
  <c r="P150" i="1"/>
  <c r="P149" i="1" s="1"/>
  <c r="N150" i="1"/>
  <c r="N149" i="1" s="1"/>
  <c r="M150" i="1"/>
  <c r="M149" i="1" s="1"/>
  <c r="W147" i="1"/>
  <c r="W146" i="1" s="1"/>
  <c r="R147" i="1"/>
  <c r="R146" i="1" s="1"/>
  <c r="Q147" i="1"/>
  <c r="Q146" i="1" s="1"/>
  <c r="P147" i="1"/>
  <c r="P146" i="1" s="1"/>
  <c r="N147" i="1"/>
  <c r="N146" i="1" s="1"/>
  <c r="M147" i="1"/>
  <c r="M146" i="1" s="1"/>
  <c r="W144" i="1"/>
  <c r="W143" i="1" s="1"/>
  <c r="R144" i="1"/>
  <c r="R143" i="1" s="1"/>
  <c r="Q144" i="1"/>
  <c r="Q143" i="1" s="1"/>
  <c r="P144" i="1"/>
  <c r="P143" i="1" s="1"/>
  <c r="N144" i="1"/>
  <c r="N143" i="1" s="1"/>
  <c r="M144" i="1"/>
  <c r="M143" i="1" s="1"/>
  <c r="W141" i="1"/>
  <c r="W140" i="1" s="1"/>
  <c r="R141" i="1"/>
  <c r="R140" i="1" s="1"/>
  <c r="Q141" i="1"/>
  <c r="Q140" i="1" s="1"/>
  <c r="P141" i="1"/>
  <c r="P140" i="1" s="1"/>
  <c r="N141" i="1"/>
  <c r="N140" i="1" s="1"/>
  <c r="M141" i="1"/>
  <c r="M140" i="1" s="1"/>
  <c r="P138" i="1"/>
  <c r="P137" i="1" s="1"/>
  <c r="R138" i="1"/>
  <c r="R137" i="1" s="1"/>
  <c r="W138" i="1"/>
  <c r="W137" i="1" s="1"/>
  <c r="M138" i="1"/>
  <c r="M137" i="1" s="1"/>
  <c r="Q135" i="1"/>
  <c r="Q134" i="1" s="1"/>
  <c r="R135" i="1"/>
  <c r="R134" i="1" s="1"/>
  <c r="W135" i="1"/>
  <c r="W134" i="1" s="1"/>
  <c r="Q132" i="1"/>
  <c r="Q131" i="1" s="1"/>
  <c r="R132" i="1"/>
  <c r="R131" i="1" s="1"/>
  <c r="W132" i="1"/>
  <c r="W131" i="1" s="1"/>
  <c r="Q129" i="1"/>
  <c r="Q128" i="1" s="1"/>
  <c r="R129" i="1"/>
  <c r="R128" i="1" s="1"/>
  <c r="W129" i="1"/>
  <c r="W128" i="1" s="1"/>
  <c r="Q126" i="1"/>
  <c r="Q125" i="1" s="1"/>
  <c r="R126" i="1"/>
  <c r="R125" i="1" s="1"/>
  <c r="W126" i="1"/>
  <c r="W125" i="1" s="1"/>
  <c r="R123" i="1"/>
  <c r="R122" i="1" s="1"/>
  <c r="W117" i="1"/>
  <c r="W116" i="1" s="1"/>
  <c r="R117" i="1"/>
  <c r="R116" i="1" s="1"/>
  <c r="Q117" i="1"/>
  <c r="Q116" i="1" s="1"/>
  <c r="P117" i="1"/>
  <c r="P116" i="1" s="1"/>
  <c r="N117" i="1"/>
  <c r="N116" i="1" s="1"/>
  <c r="M117" i="1"/>
  <c r="M116" i="1" s="1"/>
  <c r="W114" i="1"/>
  <c r="W113" i="1" s="1"/>
  <c r="R114" i="1"/>
  <c r="R113" i="1" s="1"/>
  <c r="Q114" i="1"/>
  <c r="Q113" i="1" s="1"/>
  <c r="P114" i="1"/>
  <c r="P113" i="1" s="1"/>
  <c r="N114" i="1"/>
  <c r="N113" i="1" s="1"/>
  <c r="M114" i="1"/>
  <c r="M113" i="1" s="1"/>
  <c r="W111" i="1"/>
  <c r="W110" i="1" s="1"/>
  <c r="R111" i="1"/>
  <c r="R110" i="1" s="1"/>
  <c r="Q111" i="1"/>
  <c r="Q110" i="1" s="1"/>
  <c r="N111" i="1"/>
  <c r="N110" i="1" s="1"/>
  <c r="W108" i="1"/>
  <c r="W107" i="1" s="1"/>
  <c r="R108" i="1"/>
  <c r="R107" i="1" s="1"/>
  <c r="Q108" i="1"/>
  <c r="Q107" i="1" s="1"/>
  <c r="P108" i="1"/>
  <c r="P107" i="1" s="1"/>
  <c r="N108" i="1"/>
  <c r="N107" i="1" s="1"/>
  <c r="P105" i="1"/>
  <c r="P104" i="1" s="1"/>
  <c r="Q105" i="1"/>
  <c r="Q104" i="1" s="1"/>
  <c r="R105" i="1"/>
  <c r="R104" i="1" s="1"/>
  <c r="W105" i="1"/>
  <c r="W104" i="1" s="1"/>
  <c r="W102" i="1"/>
  <c r="W101" i="1" s="1"/>
  <c r="R102" i="1"/>
  <c r="R101" i="1" s="1"/>
  <c r="Q102" i="1"/>
  <c r="Q101" i="1" s="1"/>
  <c r="P102" i="1"/>
  <c r="P101" i="1" s="1"/>
  <c r="N102" i="1"/>
  <c r="N101" i="1" s="1"/>
  <c r="M102" i="1"/>
  <c r="M101" i="1" s="1"/>
  <c r="W99" i="1"/>
  <c r="W98" i="1" s="1"/>
  <c r="R99" i="1"/>
  <c r="R98" i="1" s="1"/>
  <c r="Q99" i="1"/>
  <c r="Q98" i="1" s="1"/>
  <c r="P99" i="1"/>
  <c r="P98" i="1" s="1"/>
  <c r="N99" i="1"/>
  <c r="N98" i="1" s="1"/>
  <c r="M99" i="1"/>
  <c r="M98" i="1" s="1"/>
  <c r="W96" i="1"/>
  <c r="W95" i="1" s="1"/>
  <c r="R96" i="1"/>
  <c r="R95" i="1" s="1"/>
  <c r="N93" i="1"/>
  <c r="N92" i="1" s="1"/>
  <c r="P93" i="1"/>
  <c r="P92" i="1" s="1"/>
  <c r="Q93" i="1"/>
  <c r="Q92" i="1" s="1"/>
  <c r="R93" i="1"/>
  <c r="R92" i="1" s="1"/>
  <c r="W93" i="1"/>
  <c r="W92" i="1" s="1"/>
  <c r="M93" i="1"/>
  <c r="M92" i="1" s="1"/>
  <c r="W90" i="1"/>
  <c r="W89" i="1" s="1"/>
  <c r="R90" i="1"/>
  <c r="R89" i="1" s="1"/>
  <c r="Q90" i="1"/>
  <c r="Q89" i="1" s="1"/>
  <c r="P90" i="1"/>
  <c r="P89" i="1" s="1"/>
  <c r="N90" i="1"/>
  <c r="N89" i="1" s="1"/>
  <c r="M90" i="1"/>
  <c r="M89" i="1" s="1"/>
  <c r="W87" i="1"/>
  <c r="W86" i="1" s="1"/>
  <c r="R87" i="1"/>
  <c r="R86" i="1" s="1"/>
  <c r="Q87" i="1"/>
  <c r="Q86" i="1" s="1"/>
  <c r="P87" i="1"/>
  <c r="P86" i="1" s="1"/>
  <c r="N87" i="1"/>
  <c r="N86" i="1" s="1"/>
  <c r="M87" i="1"/>
  <c r="M86" i="1" s="1"/>
  <c r="W84" i="1"/>
  <c r="W83" i="1" s="1"/>
  <c r="R84" i="1"/>
  <c r="R83" i="1" s="1"/>
  <c r="Q84" i="1"/>
  <c r="Q83" i="1" s="1"/>
  <c r="P84" i="1"/>
  <c r="P83" i="1" s="1"/>
  <c r="N84" i="1"/>
  <c r="N83" i="1" s="1"/>
  <c r="M84" i="1"/>
  <c r="M83" i="1" s="1"/>
  <c r="W81" i="1"/>
  <c r="W80" i="1" s="1"/>
  <c r="R81" i="1"/>
  <c r="R80" i="1" s="1"/>
  <c r="Q81" i="1"/>
  <c r="Q80" i="1" s="1"/>
  <c r="P81" i="1"/>
  <c r="P80" i="1" s="1"/>
  <c r="N81" i="1"/>
  <c r="N80" i="1" s="1"/>
  <c r="M81" i="1"/>
  <c r="M80" i="1" s="1"/>
  <c r="R78" i="1"/>
  <c r="R77" i="1" s="1"/>
  <c r="W78" i="1"/>
  <c r="W77" i="1" s="1"/>
  <c r="P75" i="1"/>
  <c r="P74" i="1" s="1"/>
  <c r="Q75" i="1"/>
  <c r="Q74" i="1" s="1"/>
  <c r="R75" i="1"/>
  <c r="R74" i="1" s="1"/>
  <c r="W75" i="1"/>
  <c r="W74" i="1" s="1"/>
  <c r="N75" i="1"/>
  <c r="N74" i="1" s="1"/>
  <c r="P72" i="1"/>
  <c r="P71" i="1" s="1"/>
  <c r="Q72" i="1"/>
  <c r="Q71" i="1" s="1"/>
  <c r="R72" i="1"/>
  <c r="R71" i="1" s="1"/>
  <c r="W72" i="1"/>
  <c r="W71" i="1" s="1"/>
  <c r="M72" i="1"/>
  <c r="M71" i="1" s="1"/>
  <c r="N72" i="1"/>
  <c r="N71" i="1" s="1"/>
  <c r="P69" i="1"/>
  <c r="P68" i="1" s="1"/>
  <c r="Q69" i="1"/>
  <c r="Q68" i="1" s="1"/>
  <c r="R69" i="1"/>
  <c r="R68" i="1" s="1"/>
  <c r="W69" i="1"/>
  <c r="W68" i="1" s="1"/>
  <c r="N69" i="1"/>
  <c r="N68" i="1" s="1"/>
  <c r="M69" i="1"/>
  <c r="M68" i="1" s="1"/>
  <c r="P66" i="1"/>
  <c r="P65" i="1" s="1"/>
  <c r="Q66" i="1"/>
  <c r="Q65" i="1" s="1"/>
  <c r="N66" i="1"/>
  <c r="N65" i="1" s="1"/>
  <c r="M66" i="1"/>
  <c r="M65" i="1" s="1"/>
  <c r="R60" i="1"/>
  <c r="R59" i="1" s="1"/>
  <c r="W61" i="1"/>
  <c r="V61" i="1" s="1"/>
  <c r="P62" i="1"/>
  <c r="Q63" i="1"/>
  <c r="Q62" i="1" s="1"/>
  <c r="N63" i="1"/>
  <c r="N62" i="1" s="1"/>
  <c r="M63" i="1"/>
  <c r="M62" i="1" s="1"/>
  <c r="Q61" i="1"/>
  <c r="P60" i="1"/>
  <c r="P59" i="1" s="1"/>
  <c r="N61" i="1"/>
  <c r="P156" i="1"/>
  <c r="P155" i="1" s="1"/>
  <c r="Q156" i="1"/>
  <c r="Q155" i="1" s="1"/>
  <c r="P123" i="1"/>
  <c r="P122" i="1" s="1"/>
  <c r="P132" i="1"/>
  <c r="P131" i="1" s="1"/>
  <c r="N132" i="1"/>
  <c r="N131" i="1" s="1"/>
  <c r="P135" i="1"/>
  <c r="P134" i="1" s="1"/>
  <c r="N135" i="1"/>
  <c r="N134" i="1" s="1"/>
  <c r="M135" i="1"/>
  <c r="M134" i="1" s="1"/>
  <c r="M132" i="1"/>
  <c r="M131" i="1" s="1"/>
  <c r="P129" i="1"/>
  <c r="P128" i="1" s="1"/>
  <c r="N129" i="1"/>
  <c r="N128" i="1" s="1"/>
  <c r="P126" i="1"/>
  <c r="P125" i="1" s="1"/>
  <c r="N126" i="1"/>
  <c r="N125" i="1" s="1"/>
  <c r="M126" i="1"/>
  <c r="M125" i="1" s="1"/>
  <c r="N96" i="1"/>
  <c r="N95" i="1" s="1"/>
  <c r="P96" i="1"/>
  <c r="P95" i="1" s="1"/>
  <c r="Q96" i="1"/>
  <c r="Q95" i="1" s="1"/>
  <c r="M96" i="1"/>
  <c r="M95" i="1" s="1"/>
  <c r="N79" i="1"/>
  <c r="P78" i="1"/>
  <c r="P77" i="1" s="1"/>
  <c r="Q78" i="1"/>
  <c r="Q77" i="1" s="1"/>
  <c r="P33" i="1"/>
  <c r="P32" i="1" s="1"/>
  <c r="M57" i="1"/>
  <c r="M56" i="1" s="1"/>
  <c r="M48" i="1"/>
  <c r="M47" i="1" s="1"/>
  <c r="M42" i="1"/>
  <c r="M41" i="1" s="1"/>
  <c r="Q33" i="1"/>
  <c r="Q32" i="1" s="1"/>
  <c r="Q12" i="1"/>
  <c r="Q11" i="1" s="1"/>
  <c r="V60" i="1" l="1"/>
  <c r="V59" i="1" s="1"/>
  <c r="V199" i="1"/>
  <c r="V198" i="1" s="1"/>
  <c r="V197" i="1" s="1"/>
  <c r="M61" i="1"/>
  <c r="M60" i="1" s="1"/>
  <c r="M59" i="1" s="1"/>
  <c r="N199" i="1"/>
  <c r="N201" i="1" s="1"/>
  <c r="M79" i="1"/>
  <c r="M78" i="1" s="1"/>
  <c r="M77" i="1" s="1"/>
  <c r="W60" i="1"/>
  <c r="W59" i="1" s="1"/>
  <c r="W199" i="1"/>
  <c r="W201" i="1" s="1"/>
  <c r="Q60" i="1"/>
  <c r="Q59" i="1" s="1"/>
  <c r="Q199" i="1"/>
  <c r="N78" i="1"/>
  <c r="N77" i="1" s="1"/>
  <c r="N156" i="1"/>
  <c r="N155" i="1" s="1"/>
  <c r="M156" i="1"/>
  <c r="M155" i="1" s="1"/>
  <c r="N60" i="1"/>
  <c r="N59" i="1" s="1"/>
  <c r="N105" i="1"/>
  <c r="N104" i="1" s="1"/>
  <c r="M35" i="1"/>
  <c r="P36" i="1"/>
  <c r="P35" i="1" s="1"/>
  <c r="M75" i="1"/>
  <c r="M74" i="1" s="1"/>
  <c r="M108" i="1"/>
  <c r="M107" i="1" s="1"/>
  <c r="M129" i="1"/>
  <c r="M128" i="1" s="1"/>
  <c r="M105" i="1" l="1"/>
  <c r="M104" i="1" s="1"/>
  <c r="N12" i="1"/>
  <c r="N11" i="1" s="1"/>
  <c r="N33" i="1"/>
  <c r="N32" i="1" s="1"/>
  <c r="M33" i="1"/>
  <c r="M32" i="1" s="1"/>
  <c r="J12" i="1"/>
  <c r="J11" i="1" s="1"/>
  <c r="P12" i="1"/>
  <c r="P11" i="1" s="1"/>
  <c r="R12" i="1"/>
  <c r="R11" i="1" s="1"/>
  <c r="W12" i="1"/>
  <c r="W11" i="1" s="1"/>
  <c r="I12" i="1" l="1"/>
  <c r="I11" i="1" s="1"/>
  <c r="W198" i="1"/>
  <c r="W197" i="1" s="1"/>
  <c r="M12" i="1" l="1"/>
  <c r="M11" i="1" s="1"/>
  <c r="M199" i="1"/>
  <c r="P198" i="1"/>
  <c r="P197" i="1" s="1"/>
  <c r="R198" i="1"/>
  <c r="R197" i="1" s="1"/>
  <c r="I198" i="1"/>
  <c r="I197" i="1" s="1"/>
  <c r="N138" i="1" l="1"/>
  <c r="N137" i="1" s="1"/>
  <c r="Q138" i="1"/>
  <c r="Q137" i="1" s="1"/>
  <c r="N198" i="1" l="1"/>
  <c r="N197" i="1" s="1"/>
  <c r="N123" i="1"/>
  <c r="N122" i="1" s="1"/>
  <c r="M123" i="1" l="1"/>
  <c r="M122" i="1" s="1"/>
  <c r="M198" i="1"/>
  <c r="M197" i="1" s="1"/>
  <c r="Q123" i="1"/>
  <c r="Q122" i="1" s="1"/>
  <c r="Q198" i="1"/>
  <c r="Q197" i="1" s="1"/>
  <c r="J111" i="1"/>
  <c r="J110" i="1" s="1"/>
  <c r="L112" i="1"/>
  <c r="L111" i="1" s="1"/>
  <c r="L110" i="1" s="1"/>
  <c r="J106" i="1"/>
  <c r="J199" i="1" s="1"/>
  <c r="J198" i="1" l="1"/>
  <c r="J197" i="1" s="1"/>
  <c r="J105" i="1"/>
  <c r="J104" i="1" s="1"/>
  <c r="L106" i="1"/>
  <c r="L199" i="1" s="1"/>
  <c r="J201" i="1" l="1"/>
  <c r="L105" i="1"/>
  <c r="L104" i="1" s="1"/>
  <c r="L198" i="1"/>
  <c r="L197" i="1" s="1"/>
</calcChain>
</file>

<file path=xl/sharedStrings.xml><?xml version="1.0" encoding="utf-8"?>
<sst xmlns="http://schemas.openxmlformats.org/spreadsheetml/2006/main" count="501" uniqueCount="176">
  <si>
    <t>Наименование объекта, адрес объекта</t>
  </si>
  <si>
    <t>Источники финансирования, в том числе по годам реализации государственной программы Чувашской Республики «Обеспечение граждан в Чувашской Республике доступным и комфортным жильем», тыс. рублей</t>
  </si>
  <si>
    <t>Всего</t>
  </si>
  <si>
    <t>1.</t>
  </si>
  <si>
    <t>x</t>
  </si>
  <si>
    <t>итого</t>
  </si>
  <si>
    <t>средства республиканского бюджета Чувашской Республики</t>
  </si>
  <si>
    <t xml:space="preserve">Минстрой Чувашии </t>
  </si>
  <si>
    <t>в том числе за счет инфраструктурных бюджетных кредитов</t>
  </si>
  <si>
    <t>Минстрой Чувашии</t>
  </si>
  <si>
    <t>0,7 км</t>
  </si>
  <si>
    <t>1,7 км</t>
  </si>
  <si>
    <t>2.</t>
  </si>
  <si>
    <t>1,920 км</t>
  </si>
  <si>
    <t>1,125 км</t>
  </si>
  <si>
    <t>0,7892 км</t>
  </si>
  <si>
    <t>Автомобильная дорога микрорайона 2 «А» центральной части города Чебоксары «Грязевская стрелка»</t>
  </si>
  <si>
    <t>2024–2025</t>
  </si>
  <si>
    <t>3.</t>
  </si>
  <si>
    <t>Инфраструктурный проект в целях обеспечения реализации связанного с ним инвестиционного проекта «Комплексная застройка жилого района «Солнечный» Новоюжного планировочного района г. Чебоксары»</t>
  </si>
  <si>
    <t>Внутриквартальные сети водоснабжения в микрорайоне 3 жилого района «Солнечный» Новоюжного планировочного района г. Чебоксары</t>
  </si>
  <si>
    <t>Кольцевание газопровода высокого давления жилого района «Солнечный» (1 этап) Новоюжного планировочного района г. Чебоксары</t>
  </si>
  <si>
    <t>0,43 км</t>
  </si>
  <si>
    <t>Строительство автомобильной дороги микрорайона 3 жилого района «Солнечный» Новоюжного планировочного района г. Чебоксары (1 этап строительства)</t>
  </si>
  <si>
    <t>2022–2023</t>
  </si>
  <si>
    <t>0,397 км</t>
  </si>
  <si>
    <t>Строительство автомобильной дороги микрорайона 3 жилого района «Солнечный» Новоюжного планировочного района г. Чебоксары (2 этап строительства)</t>
  </si>
  <si>
    <t>2023–2024</t>
  </si>
  <si>
    <t>0,48 км</t>
  </si>
  <si>
    <t>10 кВ</t>
  </si>
  <si>
    <t>4.</t>
  </si>
  <si>
    <t>0,3 км</t>
  </si>
  <si>
    <t>0,55 км</t>
  </si>
  <si>
    <t>Строительство газопровода среднего давления в микрорайоне 1А центральной части г. Чебоксары</t>
  </si>
  <si>
    <t>5.</t>
  </si>
  <si>
    <t>Строительство дороги в жилой застройке 3‑е поле в г. Канаш</t>
  </si>
  <si>
    <t>0,82 км</t>
  </si>
  <si>
    <t>6.</t>
  </si>
  <si>
    <t>7.</t>
  </si>
  <si>
    <t>8.</t>
  </si>
  <si>
    <t>9.</t>
  </si>
  <si>
    <t xml:space="preserve">Инфраструктурный проект в целях обеспечения реализации инвестиционного проекта «Комплексная застройка жилого района «Новый город» города Чебоксары Чувашской Республики» </t>
  </si>
  <si>
    <t>Детское дошкольное учреждение на 340 мест поз. 5.14 в микрорайоне № 5 жилого района «Новый город» г. Чебоксары</t>
  </si>
  <si>
    <t>340 мест</t>
  </si>
  <si>
    <t>1,35 км</t>
  </si>
  <si>
    <t>1,345 км</t>
  </si>
  <si>
    <t>Устройство водопропускного коллектора со спрямлением русла р. Чебоксарка</t>
  </si>
  <si>
    <t xml:space="preserve">средства республиканского бюджета Чувашской Республики </t>
  </si>
  <si>
    <t>№ пп</t>
  </si>
  <si>
    <t>Год открытия объекта</t>
  </si>
  <si>
    <t xml:space="preserve">Мощность/ прирост мощности объекта </t>
  </si>
  <si>
    <t>Инфраструктурный проект в целях обеспечения реализации связанного с ним инвестиционного проекта «Застройка микрорайона 2 «А» центральной части города Чебоксары «Грязевская стрелка», ограниченной улицами Гагарина, Ярмарочная, Пионерская, Калинина»</t>
  </si>
  <si>
    <t>Строительство 2 КТПБ-1000/10/0,4 кВ и КЛ 10 кВ для электроснабжения жилых домов поз. 1 и поз. 2 в микрорайоне 3 жилого района «Солнечный» Новоюжного планировочного района г. Чебоксары</t>
  </si>
  <si>
    <t>Инфраструктурный проект в целях обеспечения реализации связанного с ним инвестиционного проекта «Комплексная застройка жилого района IX микрорайона Западного жилого района города Новочебоксарск Чувашской Республики»</t>
  </si>
  <si>
    <t>Внеплощадочные тепловые сети в жилом комплексе «Пригородный» д. Аркасы Чебоксарского района Чувашской Республики</t>
  </si>
  <si>
    <t>Внеплощадочные тепловые сети в жилом комплексе «Пригородный» д. Аркасы Чебоксарского района Чувашской Республики (2 этап)</t>
  </si>
  <si>
    <t xml:space="preserve">Строительство сетей газоснабжения в жилой застройке 3-е поле в г. Канаш </t>
  </si>
  <si>
    <t>всего</t>
  </si>
  <si>
    <t>2023 год, в том числе:</t>
  </si>
  <si>
    <t xml:space="preserve">Наименование инфраструктурного проекта </t>
  </si>
  <si>
    <t>Предель- ная стоимость объекта, тыс. рублей</t>
  </si>
  <si>
    <t>Магистральные сети водоснабжения микрорайона 
2 «А» центральной части города Чебоксары «Грязевская стрелка», ограниченной улицами Гагарина, Ярмарочная, Пионерская, Калинина</t>
  </si>
  <si>
    <t>Магистральные сети ливневой канализации микрорайона 
2 «А» центральной части города Чебоксары «Грязевская стрелка», ограниченной улицами Гагарина, Ярмарочная, Пионерская, Калинина</t>
  </si>
  <si>
    <t>Магистральные сети теплоснабжения микрорайона 
2 «А» центральной части города Чебоксары «Грязевская стрелка», ограниченной улицами Гагарина, Ярмарочная, Пионерская, Калинина</t>
  </si>
  <si>
    <t>Магистральные сети электроснабжения микрорайона 
2 «А» центральной части города Чебоксары «Грязевская стрелка», ограниченной улицами Гагарина, Ярмарочная, Пионерская, Калинина</t>
  </si>
  <si>
    <t>Строительство КЛ 10 кВ от ПС 110 кВ «Новый город» до проектируемого РП и строительство РП в 
микрорайоне 3 жилого района «Солнечный» Новоюжного планировочного района г. Чебоксары</t>
  </si>
  <si>
    <t>Инфраструктурный проект в целях обеспечения реализации связанного с ним инвестиционного проекта «Комплексная застройка 1А центральной части 
г. Чебоксары»</t>
  </si>
  <si>
    <t>Строительство дороги по 
ул. Базарная от 
ул. Н. Рождественского до 
ул. Н. Смирнова, в том числе:</t>
  </si>
  <si>
    <t>Строительство дороги по 
ул. Базарная от ул. И.С. Тукташа до ул. Дзержинского, в том числе:</t>
  </si>
  <si>
    <t xml:space="preserve">Инфраструктурный проект в целях обеспечения реализации связанного с ним инвестиционного проекта «Комплексная застройка 
микрорайона 3-е поле, 
г. Канаш» </t>
  </si>
  <si>
    <t xml:space="preserve">Строительство сетей водоснабжения в жилой застройке 3-е поле в г. Канаш </t>
  </si>
  <si>
    <t xml:space="preserve">Строительство сетей хозфекальной канализации в жилой застройке 3-е поле 
в г. Канаш </t>
  </si>
  <si>
    <t xml:space="preserve">Строительство проезда и тротуаров от улицы Советской до улицы Новая Высотная в
IX микрорайоне города Новочебоксарска Чувашской Республики </t>
  </si>
  <si>
    <t>Внеплощадочные инженерные сети и сооружения 
микрорайона № 5 жилого района «Новый город»
г. Чебоксары. Сети водоснабжения</t>
  </si>
  <si>
    <t>Магистральная дорога районного значения № 3 в жилом районе «Новый город» 
г. Чебоксары (1 этап)</t>
  </si>
  <si>
    <t>Проект строительства бокового проезда вдоль улицы Советской с выездом на улицу Воинов-Интернационалистов в 
IX микрорайоне города Новочебоксарска Чувашской Республики</t>
  </si>
  <si>
    <t>Инфраструктурный проект в целях обеспечения реализации инвестиционного проекта «Комплексная застройка жилого района «Пригородный» 
д. Аркасы Чебоксарского района Чувашской Республики»</t>
  </si>
  <si>
    <t>Внеплощадочные сети водоснабжения (1-й и 2-й этапы) в жилом комплексе «Пригородный» д. Аркасы Чебоксарского района Чувашской Республики</t>
  </si>
  <si>
    <t>Внеплощадочные сети хоз.-бытовой канализации (1-й этап) в жилом комплексе «Пригородный» д. Аркасы Чебоксарского района Чувашской Республики</t>
  </si>
  <si>
    <t>Внеплощадочные инженерные сети и сооружения жилого комплекса «Пригородный» 
д. Аркасы Чебоксарского района Чувашской Республики. Наружные сети ливневого водоотведения жилого комплекса «Пригородный» 
(1 этап)</t>
  </si>
  <si>
    <t>Внеплощадочные сети хозяйственно-бытовой канализации (2 этап) в жилом комплексе «Пригородный» 
д. Аркасы Чебоксарского района Чувашской Республики</t>
  </si>
  <si>
    <t xml:space="preserve">Внеплощадочные инженерные сети и сооружения жилого комплекса «Пригородный» 
д. Аркасы Чебоксарского района Чувашской Республики. Кабельная линия 10 кВ от РТП 10 кВ для электроснабжения жилого комплекса «Пригородный» </t>
  </si>
  <si>
    <t>Внеплощадочные инженерные сети и сооружения жилого комплекса «Пригородный» 
д. Аркасы Чебоксарского района Чувашской Республики. Наружные сети ливневого водоотведения жилого комплекса «Пригородный» 
(2 этап)</t>
  </si>
  <si>
    <t xml:space="preserve">Инфраструктурный проект в целях обеспечения реализации инвестиционного проекта «Комплексная застройка I очереди 
7 микрорайона центральной части 
г. Чебоксары» </t>
  </si>
  <si>
    <t xml:space="preserve">ДЕТАЛИЗИРОВАННЫЙ ПЕРЕЧЕНЬ
мероприятий, реализуемых в рамках инфраструктурных проектов Чувашской Республики, отобранных в соответствии с постановлением Правительства Российской Федерации от 14 июля 2021 г. № 1189 «Об утверждении Правил отбора инфраструктурных проектов,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проектов, и о внесении изменений в Положение о Правительственной комиссии по региональному развитию в Российской Федерации»
</t>
  </si>
  <si>
    <t>** Закрепленные остатки денежных средств в 2023 году по 2 контрактам 2022 года.</t>
  </si>
  <si>
    <t xml:space="preserve">Строительство сетей электроснабжения в жилой застройке 3‑е поле в г. Канаш </t>
  </si>
  <si>
    <t>за счет экономии расходов в 2022 году по отдельным мероприя-тиям инфраструк-турного бюджетного кредита***</t>
  </si>
  <si>
    <t>за счет инфраструк-турного бюджетного кредита, привлечен-ного в 
2023 году*</t>
  </si>
  <si>
    <t xml:space="preserve">Наименование главного распорядителя средств республиканско-го бюджета Чувашской Республики </t>
  </si>
  <si>
    <t>Магистральные сети хозяйственно-бытовой канализации микрорайона 
2 «А» центральной части города Чебоксары «Грязевская стрелка», ограниченной улицами Гагарина, Ярмарочная, Пионерская, Калинина</t>
  </si>
  <si>
    <t>Внутриквартальные сети канализации в микрорайоне 3 жилого района «Солнечный» Новоюжного планировочного района г. Чебоксары</t>
  </si>
  <si>
    <t>Внутриквартальные сети ливневой канализации с очистными сооружениями ливневых стоков в 
микрорайоне 3 жилого района «Солнечный» Новоюжного планировочного района 
г. Чебоксары</t>
  </si>
  <si>
    <t>компенсационные выплаты правообладателям объектов недвижимости за изымаемое имущество включают рыночную стоимость земельных участков, рыночную стоимость объектов недвижимого имущества, сумму убытков, причиненных изъятием земельных участков, в том числе размер упущенной выгоды</t>
  </si>
  <si>
    <t>Внеплощадочные инженерные сети и сооружения жилого комплекса «Пригородный» 
д. Аркасы Чебоксарского района Чувашской Республики. Кабельная линия 10 кВ от ПС 110/35/10 кВ Новая 
г. Новочебоксарск, 
ул. Строителей до РТП 10 кВ для электроснабжения жилого комплекса «Пригородный»</t>
  </si>
  <si>
    <t>Внеплощадочные сети водоснабжения (3 этап) в жилом комплексе «Пригородный» 
д. Аркасы Чебоксарского района Чувашской Республики</t>
  </si>
  <si>
    <t>Внеплощадочные инженерные сети и сооружения 
микрорайона № 5 жилого района «Новый город» 
г. Чебоксары. Ливневая канализация</t>
  </si>
  <si>
    <t>Внеплощадочные инженерные сети и сооружения 
микрорайона № 5 жилого района «Новый город» 
г. Чебоксары. Сети бытовой канализации с КНС</t>
  </si>
  <si>
    <t>______________</t>
  </si>
  <si>
    <t>за счет неиспользо-ванных остатков инфраструк-турного бюджетного кредита 
2022 года, подтверж-денных в 
2023 году**</t>
  </si>
  <si>
    <t>Строительство проезда от улицы 10-й Пятилетки до улицы Советской в IX микрорайоне города Новочебоксарска Чувашской Республики</t>
  </si>
  <si>
    <t>Инфраструктурный проект в целях обеспечения реализации инвестиционного проекта «Комплексная застройка жилого района «Новый город» г. Чебоксары»</t>
  </si>
  <si>
    <t>Реконструкция участка дороги 
ул. 10-й Пятилетки с устройством местного проезда вдоль ул. 10-й Пятилетки в 
IX микрорайоне города Новочебоксарска 
Чувашской Республики. 
I этап строительства  ̶ строительство бокового проезда вдоль ул. 10-й Пятилетки</t>
  </si>
  <si>
    <t>2022–2025</t>
  </si>
  <si>
    <t>2023–2025</t>
  </si>
  <si>
    <t>2022 год, в том числе:</t>
  </si>
  <si>
    <t>неиспользо-ванные остатки инфраструк-турного бюджетного кредита 
2022 года</t>
  </si>
  <si>
    <t>за счет привлечен-ных средств инфраструк-турного бюджетного кредита в 2022 году, возвращен-ных в бюд-жет в 2023 го-ду****</t>
  </si>
  <si>
    <t>* Утвержденный лимит инфраструктурного бюджетного кредита согласно протоколу заседания президиума (штаба) Правительственной комиссии по региональному развитию в Российской Федерации.</t>
  </si>
  <si>
    <t>за счет инфраструк-турного бюджетного кредита, привлечен-ного в 
2024 году*</t>
  </si>
  <si>
    <t>за счет неиспользо-ванных остатков инфраструк-турного бюджетного кредита 
2023 года, подтверж-денных в 
2024 году**</t>
  </si>
  <si>
    <t>2024 год, в том числе:</t>
  </si>
  <si>
    <t xml:space="preserve">2024 год </t>
  </si>
  <si>
    <t xml:space="preserve">2023 год </t>
  </si>
  <si>
    <t>*** Использование в 2023 году денежных средств, не израсходованных в 2022 году, в объеме 4 511,56 тыс. рублей за счет средств 2022 года, в том числе по проекту 3 в объеме 1 474,43 тыс. рублей, по проекту 4 в объеме 64,79 тыс. рублей, по проекту 7 в объеме 1 100,31 тыс. рублей и проекту 8 в объеме 1 872,04 тыс. рублей.</t>
  </si>
  <si>
    <t xml:space="preserve">использован-ные средства инфраструк-турного бюджетного кредита 
2022 года </t>
  </si>
  <si>
    <t>Год проектиро-вания/ строительства/реконструкции объекта</t>
  </si>
  <si>
    <t>Магистральная дорога районного значения № 3 в микрорайоне       № 2 в жилом районе «Новый город» 
г. Чебоксары. 3 этап (в границах микрорайона № 2)</t>
  </si>
  <si>
    <t>**** Использование в 2023 году денежных средств, возвращенных в 2023 году, в объеме 282 470,16 тыс. рублей по 1 и 8 инфраструктурным проектам.</t>
  </si>
  <si>
    <t>Детский сад на 180 мест поз.3.10 с отдельностоящей котельной в микрорайоне №3 жилого района "Новый город" г. Чебоксары</t>
  </si>
  <si>
    <t>Дорога в жилой застройке в микрорайоне №5 жилого района «Новый город» г. Чебоксары</t>
  </si>
  <si>
    <t>Перекресток шоссе Марпосадское с улицей И.П. Прокопьева</t>
  </si>
  <si>
    <t>2024-2025</t>
  </si>
  <si>
    <t>Сети водоснабжения в нижней части I очереди VII микрорайона центральной части г. Чебоксары</t>
  </si>
  <si>
    <t>Сети водоотведения хозяйственно-бытовых стоков в нижней части I очереди VII микрорайона центральной части г. Чебоксары</t>
  </si>
  <si>
    <t>Сети ливневых стоков в нижней части  I очереди VII микрорайона центральной части г. Чебоксары</t>
  </si>
  <si>
    <t>Детский сад на 220 мест (поз. 26) в IX микрорайоне Западного жилого района города Новочебоксарска</t>
  </si>
  <si>
    <t>220 мест</t>
  </si>
  <si>
    <t>за счет инфраструк-турного бюджетного кредита, привлечен-ного в 
2025 году*</t>
  </si>
  <si>
    <t>0,712 км</t>
  </si>
  <si>
    <t>за счет неиспользо-ванных остатков инфраструк-турного бюджетного кредита 
2024 года, подтверж-денных в 
2025 году**</t>
  </si>
  <si>
    <t>2025 год, в том числе:</t>
  </si>
  <si>
    <t>за счет экономии расходов (исключении) в 2024 году по отдельным мероприя-тиям инфраструк-турного бюджетного кредита***</t>
  </si>
  <si>
    <t>за счет неиспользо-ванных остатков инфраструк-турного бюджетного кредита 
2023 года, подтверж-денных в 
2025 году**</t>
  </si>
  <si>
    <t xml:space="preserve">2025 год </t>
  </si>
  <si>
    <t>0,72 км</t>
  </si>
  <si>
    <t>0,44 км</t>
  </si>
  <si>
    <t>2024–2026</t>
  </si>
  <si>
    <t>2024-2026</t>
  </si>
  <si>
    <t>180 мест</t>
  </si>
  <si>
    <t>0,45 км</t>
  </si>
  <si>
    <t>0,044 км</t>
  </si>
  <si>
    <t>0,122 км</t>
  </si>
  <si>
    <t>за счет привлечен-ных средств инфраструк-турного бюджетного кредита в 2022 году, возвращен-ных в бюд-жет в 2023-2024 го-дах и экономии 2022-2023 годах ****</t>
  </si>
  <si>
    <t>**** Использование в 2025 году денежных средств, возвращенных в 2023 - 2024 году, в объеме 305 024,72 тыс. рублей, в том числе по исключенному проекту "Дубрава парк" в объеме  298 441,48 тыс. рублей и эконмиии 5 804,45 тыс. рублей в 2022 году по проекту 6 в объеме 2 928,77 тыс. рублей, в 2023 году по проекту 5 в объеме 2 875,67 тыс. рублей.</t>
  </si>
  <si>
    <t>10.</t>
  </si>
  <si>
    <t>1,459 км</t>
  </si>
  <si>
    <t xml:space="preserve"> 0,328 км</t>
  </si>
  <si>
    <t>1,284 км</t>
  </si>
  <si>
    <t>0,257 км</t>
  </si>
  <si>
    <t xml:space="preserve">0,2043 км  </t>
  </si>
  <si>
    <t>0,824 км</t>
  </si>
  <si>
    <t>1156 п.м</t>
  </si>
  <si>
    <t>1,834/1,859 км</t>
  </si>
  <si>
    <t>246,47 п.м.</t>
  </si>
  <si>
    <t>189,6 п.м.</t>
  </si>
  <si>
    <t>0,495 км</t>
  </si>
  <si>
    <t>0,536 км</t>
  </si>
  <si>
    <t xml:space="preserve"> 0,668 км</t>
  </si>
  <si>
    <t>0,359 км</t>
  </si>
  <si>
    <t xml:space="preserve">0,46 км </t>
  </si>
  <si>
    <t>1,964 км</t>
  </si>
  <si>
    <t>1,436 км</t>
  </si>
  <si>
    <t>1,066 км</t>
  </si>
  <si>
    <t>0,738 км</t>
  </si>
  <si>
    <t>1,585 км</t>
  </si>
  <si>
    <t>0,814 км</t>
  </si>
  <si>
    <t>2,679 км</t>
  </si>
  <si>
    <t>1,100 км</t>
  </si>
  <si>
    <t>0,592 км</t>
  </si>
  <si>
    <r>
      <t xml:space="preserve">*** Использование в 2025 году денежных средств, не израсходованных в 2024 году, в объеме 142 028,75 тыс. рублей направленных на новые мероприятия за счет средств 2023 </t>
    </r>
    <r>
      <rPr>
        <sz val="11"/>
        <color theme="1"/>
        <rFont val="Calibri"/>
        <family val="2"/>
        <charset val="204"/>
      </rPr>
      <t>̶</t>
    </r>
    <r>
      <rPr>
        <sz val="7.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2024 годов, в том числе по проекту 2 в объеме 10 676,64 тыс. рублей, по проекту 6 в объеме 4 476,42 тыс. рублей, по проекту 7 в объеме 96264,5 тыс. рублей и проекту 8 в объеме 30 218,01 тыс. рублей.</t>
    </r>
  </si>
  <si>
    <t>Приложение 
к постановлению Кабинета Министров 
Чувашской Республики 
   от    №     
УТВЕРЖДЕН
постановлением Кабинета Министров 
Чувашской Республики 
от 13.12.2021   № 653</t>
  </si>
  <si>
    <r>
      <t xml:space="preserve">** Закрепленные остатки денежных средств в 2024 году по 13 контрактам 2022 </t>
    </r>
    <r>
      <rPr>
        <sz val="11"/>
        <color theme="1"/>
        <rFont val="Calibri"/>
        <family val="2"/>
        <charset val="204"/>
      </rPr>
      <t xml:space="preserve">̶ </t>
    </r>
    <r>
      <rPr>
        <sz val="11"/>
        <color theme="1"/>
        <rFont val="Times New Roman"/>
        <family val="1"/>
        <charset val="204"/>
      </rPr>
      <t>2023 годов.</t>
    </r>
  </si>
  <si>
    <r>
      <t xml:space="preserve">*** Использование в 2024 году денежных средств, не израсходованных в 2023 году, в объеме 3654,47 тыс. рублей за счет средств 2022 </t>
    </r>
    <r>
      <rPr>
        <sz val="11"/>
        <color theme="1"/>
        <rFont val="Calibri"/>
        <family val="2"/>
        <charset val="204"/>
      </rPr>
      <t>̶</t>
    </r>
    <r>
      <rPr>
        <sz val="7.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2023 годов, в том числе по проекту 6 в объеме 2 875,68 тыс. рублей и проекту 8 в объеме 778,79 тыс. рублей.</t>
    </r>
  </si>
  <si>
    <r>
      <t xml:space="preserve">** Закрепленные остатки денежных средств в 2025 году по 13 контрактам 2022 </t>
    </r>
    <r>
      <rPr>
        <sz val="11"/>
        <color theme="1"/>
        <rFont val="Calibri"/>
        <family val="2"/>
        <charset val="204"/>
      </rPr>
      <t xml:space="preserve">̶ </t>
    </r>
    <r>
      <rPr>
        <sz val="11"/>
        <color theme="1"/>
        <rFont val="Times New Roman"/>
        <family val="1"/>
        <charset val="204"/>
      </rPr>
      <t>2024 годов.</t>
    </r>
  </si>
  <si>
    <t xml:space="preserve">Ообъем средств возвращенных в Ресубликанский бюджет Чувашской Республики в 2023 году  по 6 меропрятиям проекта "Комплексная застройка ЖК «Дубрава Парк» город Чебоксары"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</si>
</sst>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#,##0.00000"/>
    <numFmt numFmtId="168" formatCode="#,##0.000"/>
    <numFmt numFmtId="169" formatCode="#,##0.0000"/>
    <numFmt numFmtId="170" formatCode="_-* #,##0.00_-;\-* #,##0.00_-;_-* &quot;-&quot;??_-;_-@_-"/>
    <numFmt numFmtId="171" formatCode="0.00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</font>
    <font>
      <b/>
      <sz val="10"/>
      <color rgb="FF00000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  <charset val="204"/>
    </font>
    <font>
      <sz val="10"/>
      <name val="Verdana"/>
      <family val="2"/>
      <charset val="204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7.7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/>
      <top/>
      <bottom/>
      <diagonal/>
    </border>
  </borders>
  <cellStyleXfs count="871">
    <xf numFmtId="0" fontId="0" fillId="0" borderId="0"/>
    <xf numFmtId="164" fontId="4" fillId="0" borderId="0">
      <alignment vertical="top" wrapText="1"/>
    </xf>
    <xf numFmtId="0" fontId="5" fillId="0" borderId="0"/>
    <xf numFmtId="164" fontId="6" fillId="0" borderId="0">
      <alignment vertical="top" wrapText="1"/>
    </xf>
    <xf numFmtId="0" fontId="1" fillId="0" borderId="0"/>
    <xf numFmtId="0" fontId="7" fillId="0" borderId="0"/>
    <xf numFmtId="0" fontId="7" fillId="0" borderId="0"/>
    <xf numFmtId="0" fontId="5" fillId="0" borderId="0"/>
    <xf numFmtId="164" fontId="6" fillId="0" borderId="0">
      <alignment vertical="top" wrapText="1"/>
    </xf>
    <xf numFmtId="164" fontId="6" fillId="0" borderId="0">
      <alignment vertical="top" wrapText="1"/>
    </xf>
    <xf numFmtId="0" fontId="5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164" fontId="6" fillId="0" borderId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1" fillId="0" borderId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1">
      <alignment vertical="top" wrapText="1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164" fontId="5" fillId="0" borderId="0" applyFon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1" borderId="8" applyNumberFormat="0" applyAlignment="0" applyProtection="0"/>
    <xf numFmtId="0" fontId="18" fillId="21" borderId="8" applyNumberFormat="0" applyAlignment="0" applyProtection="0"/>
    <xf numFmtId="0" fontId="18" fillId="21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6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4" fontId="27" fillId="24" borderId="11">
      <alignment horizontal="right" shrinkToFi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25" borderId="12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>
      <alignment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12">
      <alignment horizontal="left" vertical="top" wrapText="1"/>
    </xf>
    <xf numFmtId="49" fontId="30" fillId="0" borderId="13">
      <alignment horizontal="center" vertical="top" shrinkToFit="1"/>
    </xf>
    <xf numFmtId="4" fontId="28" fillId="25" borderId="13">
      <alignment horizontal="right" vertical="top" shrinkToFi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8" fillId="21" borderId="8" applyNumberFormat="0" applyAlignment="0" applyProtection="0"/>
    <xf numFmtId="0" fontId="22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23" fillId="0" borderId="10" applyNumberFormat="0" applyFill="0" applyAlignment="0" applyProtection="0"/>
    <xf numFmtId="0" fontId="20" fillId="22" borderId="0" applyNumberFormat="0" applyBorder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9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27" borderId="28">
      <alignment horizontal="left" vertical="top" wrapText="1"/>
    </xf>
    <xf numFmtId="0" fontId="1" fillId="0" borderId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9" fillId="0" borderId="0" applyFont="0" applyFill="0" applyBorder="0"/>
    <xf numFmtId="43" fontId="1" fillId="0" borderId="0" applyFont="0" applyFill="0" applyBorder="0"/>
    <xf numFmtId="43" fontId="1" fillId="0" borderId="0" applyFont="0" applyFill="0" applyBorder="0"/>
    <xf numFmtId="43" fontId="9" fillId="0" borderId="0" applyFont="0" applyFill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/>
    <xf numFmtId="43" fontId="1" fillId="0" borderId="0" applyFont="0" applyFill="0" applyBorder="0"/>
    <xf numFmtId="43" fontId="1" fillId="0" borderId="0" applyFont="0" applyFill="0" applyBorder="0"/>
    <xf numFmtId="43" fontId="9" fillId="0" borderId="0" applyFont="0" applyFill="0" applyBorder="0"/>
    <xf numFmtId="0" fontId="28" fillId="28" borderId="32">
      <alignment horizontal="left" vertical="top" wrapText="1"/>
    </xf>
    <xf numFmtId="49" fontId="30" fillId="0" borderId="13">
      <alignment horizontal="center" vertical="top" shrinkToFit="1"/>
    </xf>
    <xf numFmtId="4" fontId="30" fillId="0" borderId="13">
      <alignment horizontal="right" vertical="top" shrinkToFit="1"/>
    </xf>
    <xf numFmtId="0" fontId="30" fillId="0" borderId="0"/>
    <xf numFmtId="4" fontId="28" fillId="28" borderId="33">
      <alignment horizontal="right" vertical="top" shrinkToFit="1"/>
    </xf>
    <xf numFmtId="4" fontId="27" fillId="27" borderId="30">
      <alignment horizontal="right" vertical="top" shrinkToFit="1"/>
    </xf>
    <xf numFmtId="4" fontId="30" fillId="0" borderId="34">
      <alignment horizontal="right" vertical="top" shrinkToFit="1"/>
    </xf>
    <xf numFmtId="49" fontId="28" fillId="25" borderId="13">
      <alignment horizontal="center" vertical="top" shrinkToFit="1"/>
    </xf>
    <xf numFmtId="0" fontId="27" fillId="27" borderId="29">
      <alignment horizontal="left" vertical="top" wrapText="1"/>
    </xf>
    <xf numFmtId="4" fontId="27" fillId="24" borderId="35">
      <alignment horizontal="right" shrinkToFit="1"/>
    </xf>
    <xf numFmtId="0" fontId="28" fillId="25" borderId="13">
      <alignment horizontal="left" vertical="top" wrapText="1"/>
    </xf>
    <xf numFmtId="4" fontId="27" fillId="27" borderId="29">
      <alignment horizontal="right" vertical="top" shrinkToFit="1"/>
    </xf>
    <xf numFmtId="0" fontId="28" fillId="25" borderId="12">
      <alignment horizontal="left" vertical="top" wrapText="1"/>
    </xf>
    <xf numFmtId="0" fontId="29" fillId="0" borderId="12">
      <alignment horizontal="left" vertical="top" wrapText="1"/>
    </xf>
    <xf numFmtId="4" fontId="28" fillId="25" borderId="34">
      <alignment horizontal="right" vertical="top" shrinkToFit="1"/>
    </xf>
    <xf numFmtId="49" fontId="28" fillId="0" borderId="27">
      <alignment horizontal="center" vertical="center" wrapText="1"/>
    </xf>
    <xf numFmtId="0" fontId="30" fillId="0" borderId="0"/>
    <xf numFmtId="4" fontId="28" fillId="28" borderId="32">
      <alignment horizontal="right" vertical="top" shrinkToFit="1"/>
    </xf>
    <xf numFmtId="0" fontId="35" fillId="0" borderId="0"/>
    <xf numFmtId="0" fontId="35" fillId="0" borderId="0"/>
    <xf numFmtId="49" fontId="28" fillId="28" borderId="32">
      <alignment horizontal="center" vertical="top" shrinkToFit="1"/>
    </xf>
    <xf numFmtId="4" fontId="28" fillId="25" borderId="13">
      <alignment horizontal="right" vertical="top" shrinkToFit="1"/>
    </xf>
    <xf numFmtId="0" fontId="35" fillId="0" borderId="0"/>
    <xf numFmtId="49" fontId="27" fillId="27" borderId="29">
      <alignment horizontal="center" vertical="top" shrinkToFit="1"/>
    </xf>
    <xf numFmtId="0" fontId="35" fillId="0" borderId="0"/>
    <xf numFmtId="0" fontId="28" fillId="28" borderId="31">
      <alignment horizontal="left" vertical="top" wrapText="1"/>
    </xf>
    <xf numFmtId="0" fontId="30" fillId="0" borderId="0">
      <alignment horizontal="right" vertical="top" wrapText="1"/>
    </xf>
    <xf numFmtId="0" fontId="30" fillId="0" borderId="13">
      <alignment horizontal="left" vertical="top" wrapText="1"/>
    </xf>
  </cellStyleXfs>
  <cellXfs count="79">
    <xf numFmtId="0" fontId="0" fillId="0" borderId="0" xfId="0"/>
    <xf numFmtId="0" fontId="0" fillId="0" borderId="0" xfId="0" applyFont="1"/>
    <xf numFmtId="0" fontId="3" fillId="26" borderId="19" xfId="0" applyFont="1" applyFill="1" applyBorder="1" applyAlignment="1">
      <alignment horizontal="left" vertical="top" wrapText="1"/>
    </xf>
    <xf numFmtId="0" fontId="3" fillId="26" borderId="18" xfId="0" applyFont="1" applyFill="1" applyBorder="1" applyAlignment="1">
      <alignment horizontal="left" vertical="top" wrapText="1"/>
    </xf>
    <xf numFmtId="0" fontId="3" fillId="26" borderId="20" xfId="0" applyFont="1" applyFill="1" applyBorder="1" applyAlignment="1">
      <alignment horizontal="left" vertical="top" wrapText="1"/>
    </xf>
    <xf numFmtId="0" fontId="3" fillId="26" borderId="0" xfId="0" applyFont="1" applyFill="1" applyAlignment="1">
      <alignment wrapText="1"/>
    </xf>
    <xf numFmtId="0" fontId="3" fillId="26" borderId="22" xfId="0" applyFont="1" applyFill="1" applyBorder="1" applyAlignment="1">
      <alignment horizontal="left" vertical="top" wrapText="1"/>
    </xf>
    <xf numFmtId="0" fontId="3" fillId="26" borderId="15" xfId="0" applyFont="1" applyFill="1" applyBorder="1" applyAlignment="1">
      <alignment horizontal="left" vertical="top" wrapText="1"/>
    </xf>
    <xf numFmtId="0" fontId="3" fillId="26" borderId="0" xfId="0" applyFont="1" applyFill="1" applyAlignment="1">
      <alignment horizontal="left" vertical="center"/>
    </xf>
    <xf numFmtId="3" fontId="3" fillId="26" borderId="15" xfId="0" applyNumberFormat="1" applyFont="1" applyFill="1" applyBorder="1" applyAlignment="1">
      <alignment horizontal="center" vertical="top" wrapText="1"/>
    </xf>
    <xf numFmtId="0" fontId="3" fillId="26" borderId="0" xfId="0" applyFont="1" applyFill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26" borderId="0" xfId="0" applyFont="1" applyFill="1" applyAlignment="1">
      <alignment horizontal="center" vertical="center" wrapText="1"/>
    </xf>
    <xf numFmtId="0" fontId="2" fillId="26" borderId="26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left" vertical="top" wrapText="1"/>
    </xf>
    <xf numFmtId="4" fontId="38" fillId="0" borderId="0" xfId="0" applyNumberFormat="1" applyFont="1" applyAlignment="1">
      <alignment horizontal="center" vertical="center"/>
    </xf>
    <xf numFmtId="4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16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8" fontId="38" fillId="0" borderId="0" xfId="0" applyNumberFormat="1" applyFont="1" applyAlignment="1">
      <alignment horizontal="center" vertical="center"/>
    </xf>
    <xf numFmtId="4" fontId="3" fillId="26" borderId="15" xfId="0" applyNumberFormat="1" applyFont="1" applyFill="1" applyBorder="1" applyAlignment="1">
      <alignment horizontal="center" vertical="top"/>
    </xf>
    <xf numFmtId="0" fontId="0" fillId="26" borderId="0" xfId="0" applyFont="1" applyFill="1"/>
    <xf numFmtId="167" fontId="0" fillId="26" borderId="0" xfId="0" applyNumberFormat="1" applyFont="1" applyFill="1"/>
    <xf numFmtId="0" fontId="3" fillId="26" borderId="14" xfId="0" applyFont="1" applyFill="1" applyBorder="1" applyAlignment="1">
      <alignment horizontal="center" vertical="top" wrapText="1"/>
    </xf>
    <xf numFmtId="0" fontId="3" fillId="26" borderId="15" xfId="0" applyFont="1" applyFill="1" applyBorder="1" applyAlignment="1">
      <alignment horizontal="center" vertical="top" wrapText="1"/>
    </xf>
    <xf numFmtId="0" fontId="3" fillId="26" borderId="16" xfId="0" applyFont="1" applyFill="1" applyBorder="1" applyAlignment="1">
      <alignment horizontal="center" vertical="top"/>
    </xf>
    <xf numFmtId="0" fontId="3" fillId="26" borderId="17" xfId="0" applyFont="1" applyFill="1" applyBorder="1" applyAlignment="1">
      <alignment horizontal="center" vertical="top"/>
    </xf>
    <xf numFmtId="0" fontId="3" fillId="26" borderId="14" xfId="0" applyFont="1" applyFill="1" applyBorder="1" applyAlignment="1">
      <alignment horizontal="center" vertical="top"/>
    </xf>
    <xf numFmtId="0" fontId="3" fillId="26" borderId="16" xfId="0" applyFont="1" applyFill="1" applyBorder="1" applyAlignment="1">
      <alignment horizontal="center" vertical="top" wrapText="1"/>
    </xf>
    <xf numFmtId="0" fontId="3" fillId="26" borderId="17" xfId="0" applyFont="1" applyFill="1" applyBorder="1" applyAlignment="1">
      <alignment horizontal="center" vertical="top" wrapText="1"/>
    </xf>
    <xf numFmtId="0" fontId="3" fillId="26" borderId="15" xfId="0" applyFont="1" applyFill="1" applyBorder="1" applyAlignment="1">
      <alignment horizontal="center" vertical="top" wrapText="1"/>
    </xf>
    <xf numFmtId="0" fontId="3" fillId="26" borderId="20" xfId="0" applyFont="1" applyFill="1" applyBorder="1" applyAlignment="1">
      <alignment horizontal="center" vertical="top" wrapText="1"/>
    </xf>
    <xf numFmtId="0" fontId="3" fillId="26" borderId="23" xfId="0" applyFont="1" applyFill="1" applyBorder="1" applyAlignment="1">
      <alignment horizontal="center" vertical="top" wrapText="1"/>
    </xf>
    <xf numFmtId="0" fontId="3" fillId="26" borderId="14" xfId="0" applyFont="1" applyFill="1" applyBorder="1" applyAlignment="1">
      <alignment horizontal="center" vertical="top" wrapText="1"/>
    </xf>
    <xf numFmtId="0" fontId="3" fillId="26" borderId="19" xfId="0" applyFont="1" applyFill="1" applyBorder="1" applyAlignment="1">
      <alignment horizontal="center" vertical="top" wrapText="1"/>
    </xf>
    <xf numFmtId="0" fontId="3" fillId="26" borderId="21" xfId="0" applyFont="1" applyFill="1" applyBorder="1" applyAlignment="1">
      <alignment horizontal="center" vertical="top" wrapText="1"/>
    </xf>
    <xf numFmtId="4" fontId="3" fillId="26" borderId="15" xfId="0" applyNumberFormat="1" applyFont="1" applyFill="1" applyBorder="1" applyAlignment="1">
      <alignment horizontal="center" vertical="top" wrapText="1"/>
    </xf>
    <xf numFmtId="0" fontId="3" fillId="26" borderId="22" xfId="0" applyFont="1" applyFill="1" applyBorder="1" applyAlignment="1">
      <alignment horizontal="center" vertical="top" wrapText="1"/>
    </xf>
    <xf numFmtId="3" fontId="3" fillId="26" borderId="15" xfId="0" applyNumberFormat="1" applyFont="1" applyFill="1" applyBorder="1" applyAlignment="1">
      <alignment horizontal="center" vertical="top" wrapText="1"/>
    </xf>
    <xf numFmtId="0" fontId="3" fillId="26" borderId="16" xfId="0" applyFont="1" applyFill="1" applyBorder="1" applyAlignment="1">
      <alignment horizontal="justify" vertical="top" wrapText="1"/>
    </xf>
    <xf numFmtId="3" fontId="3" fillId="26" borderId="16" xfId="0" applyNumberFormat="1" applyFont="1" applyFill="1" applyBorder="1" applyAlignment="1">
      <alignment horizontal="center" vertical="top" wrapText="1"/>
    </xf>
    <xf numFmtId="166" fontId="3" fillId="26" borderId="15" xfId="0" applyNumberFormat="1" applyFont="1" applyFill="1" applyBorder="1" applyAlignment="1">
      <alignment horizontal="center" vertical="top" wrapText="1"/>
    </xf>
    <xf numFmtId="0" fontId="3" fillId="26" borderId="19" xfId="0" applyFont="1" applyFill="1" applyBorder="1" applyAlignment="1">
      <alignment horizontal="left" vertical="top" wrapText="1"/>
    </xf>
    <xf numFmtId="4" fontId="3" fillId="26" borderId="15" xfId="0" applyNumberFormat="1" applyFont="1" applyFill="1" applyBorder="1" applyAlignment="1">
      <alignment horizontal="center" vertical="top" wrapText="1"/>
    </xf>
    <xf numFmtId="0" fontId="3" fillId="26" borderId="18" xfId="0" applyFont="1" applyFill="1" applyBorder="1" applyAlignment="1">
      <alignment horizontal="left" vertical="top" wrapText="1"/>
    </xf>
    <xf numFmtId="0" fontId="3" fillId="26" borderId="20" xfId="0" applyFont="1" applyFill="1" applyBorder="1" applyAlignment="1">
      <alignment horizontal="left" vertical="top" wrapText="1"/>
    </xf>
    <xf numFmtId="166" fontId="3" fillId="26" borderId="15" xfId="0" applyNumberFormat="1" applyFont="1" applyFill="1" applyBorder="1" applyAlignment="1">
      <alignment horizontal="center" vertical="top" wrapText="1"/>
    </xf>
    <xf numFmtId="4" fontId="3" fillId="26" borderId="16" xfId="0" applyNumberFormat="1" applyFont="1" applyFill="1" applyBorder="1" applyAlignment="1">
      <alignment horizontal="center" vertical="top" wrapText="1"/>
    </xf>
    <xf numFmtId="166" fontId="3" fillId="26" borderId="18" xfId="0" applyNumberFormat="1" applyFont="1" applyFill="1" applyBorder="1" applyAlignment="1">
      <alignment horizontal="center" vertical="top" wrapText="1"/>
    </xf>
    <xf numFmtId="166" fontId="3" fillId="26" borderId="20" xfId="0" applyNumberFormat="1" applyFont="1" applyFill="1" applyBorder="1" applyAlignment="1">
      <alignment horizontal="center" vertical="top" wrapText="1"/>
    </xf>
    <xf numFmtId="0" fontId="3" fillId="26" borderId="19" xfId="0" applyFont="1" applyFill="1" applyBorder="1" applyAlignment="1">
      <alignment horizontal="center" vertical="top" wrapText="1"/>
    </xf>
    <xf numFmtId="0" fontId="3" fillId="26" borderId="18" xfId="0" applyFont="1" applyFill="1" applyBorder="1" applyAlignment="1">
      <alignment horizontal="center" vertical="top" wrapText="1"/>
    </xf>
    <xf numFmtId="0" fontId="3" fillId="26" borderId="20" xfId="0" applyFont="1" applyFill="1" applyBorder="1" applyAlignment="1">
      <alignment horizontal="center" vertical="top" wrapText="1"/>
    </xf>
    <xf numFmtId="0" fontId="3" fillId="26" borderId="24" xfId="0" applyFont="1" applyFill="1" applyBorder="1" applyAlignment="1">
      <alignment horizontal="center" vertical="top" wrapText="1"/>
    </xf>
    <xf numFmtId="0" fontId="0" fillId="26" borderId="20" xfId="0" applyFont="1" applyFill="1" applyBorder="1" applyAlignment="1">
      <alignment horizontal="center" vertical="top" wrapText="1"/>
    </xf>
    <xf numFmtId="0" fontId="0" fillId="26" borderId="25" xfId="0" applyFont="1" applyFill="1" applyBorder="1" applyAlignment="1">
      <alignment horizontal="center" vertical="top" wrapText="1"/>
    </xf>
    <xf numFmtId="0" fontId="3" fillId="26" borderId="16" xfId="0" applyFont="1" applyFill="1" applyBorder="1" applyAlignment="1">
      <alignment horizontal="center" vertical="top" wrapText="1"/>
    </xf>
    <xf numFmtId="0" fontId="3" fillId="26" borderId="16" xfId="0" applyFont="1" applyFill="1" applyBorder="1" applyAlignment="1">
      <alignment horizontal="left" vertical="top" wrapText="1"/>
    </xf>
    <xf numFmtId="0" fontId="3" fillId="26" borderId="0" xfId="0" applyFont="1" applyFill="1" applyBorder="1" applyAlignment="1">
      <alignment horizontal="center" vertical="top" wrapText="1"/>
    </xf>
    <xf numFmtId="0" fontId="3" fillId="26" borderId="14" xfId="0" applyFont="1" applyFill="1" applyBorder="1" applyAlignment="1">
      <alignment horizontal="left" vertical="top" wrapText="1"/>
    </xf>
    <xf numFmtId="171" fontId="3" fillId="26" borderId="15" xfId="0" applyNumberFormat="1" applyFont="1" applyFill="1" applyBorder="1" applyAlignment="1">
      <alignment horizontal="center" vertical="top" wrapText="1"/>
    </xf>
    <xf numFmtId="0" fontId="3" fillId="26" borderId="23" xfId="0" applyFont="1" applyFill="1" applyBorder="1" applyAlignment="1">
      <alignment horizontal="left" vertical="top" wrapText="1"/>
    </xf>
    <xf numFmtId="0" fontId="3" fillId="26" borderId="21" xfId="0" applyFont="1" applyFill="1" applyBorder="1" applyAlignment="1">
      <alignment horizontal="center" vertical="top" wrapText="1"/>
    </xf>
    <xf numFmtId="0" fontId="3" fillId="26" borderId="22" xfId="0" applyFont="1" applyFill="1" applyBorder="1" applyAlignment="1">
      <alignment horizontal="center" vertical="top" wrapText="1"/>
    </xf>
    <xf numFmtId="0" fontId="3" fillId="26" borderId="36" xfId="0" applyFont="1" applyFill="1" applyBorder="1" applyAlignment="1">
      <alignment horizontal="center" vertical="top" wrapText="1"/>
    </xf>
    <xf numFmtId="0" fontId="3" fillId="26" borderId="23" xfId="0" applyFont="1" applyFill="1" applyBorder="1" applyAlignment="1">
      <alignment horizontal="center" vertical="top" wrapText="1"/>
    </xf>
    <xf numFmtId="0" fontId="3" fillId="26" borderId="25" xfId="0" applyFont="1" applyFill="1" applyBorder="1" applyAlignment="1">
      <alignment horizontal="center" vertical="top" wrapText="1"/>
    </xf>
    <xf numFmtId="0" fontId="3" fillId="26" borderId="23" xfId="0" applyFont="1" applyFill="1" applyBorder="1" applyAlignment="1">
      <alignment horizontal="left" vertical="top" wrapText="1"/>
    </xf>
    <xf numFmtId="168" fontId="3" fillId="26" borderId="15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16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166" fontId="3" fillId="26" borderId="16" xfId="0" applyNumberFormat="1" applyFont="1" applyFill="1" applyBorder="1" applyAlignment="1">
      <alignment horizontal="center" vertical="top" wrapText="1"/>
    </xf>
  </cellXfs>
  <cellStyles count="871">
    <cellStyle name="20% - Accent1" xfId="614"/>
    <cellStyle name="20% - Accent2" xfId="615"/>
    <cellStyle name="20% - Accent3" xfId="616"/>
    <cellStyle name="20% - Accent4" xfId="617"/>
    <cellStyle name="20% - Accent5" xfId="618"/>
    <cellStyle name="20% - Accent6" xfId="619"/>
    <cellStyle name="20% - Акцент1 2" xfId="22"/>
    <cellStyle name="20% - Акцент1 3" xfId="26"/>
    <cellStyle name="20% - Акцент1 4" xfId="25"/>
    <cellStyle name="20% - Акцент2 2" xfId="20"/>
    <cellStyle name="20% - Акцент2 3" xfId="24"/>
    <cellStyle name="20% - Акцент2 4" xfId="21"/>
    <cellStyle name="20% - Акцент3 2" xfId="32"/>
    <cellStyle name="20% - Акцент3 3" xfId="33"/>
    <cellStyle name="20% - Акцент3 4" xfId="31"/>
    <cellStyle name="20% - Акцент4 2" xfId="35"/>
    <cellStyle name="20% - Акцент4 3" xfId="36"/>
    <cellStyle name="20% - Акцент4 4" xfId="34"/>
    <cellStyle name="20% - Акцент5 2" xfId="38"/>
    <cellStyle name="20% - Акцент5 3" xfId="39"/>
    <cellStyle name="20% - Акцент5 4" xfId="37"/>
    <cellStyle name="20% - Акцент6 2" xfId="41"/>
    <cellStyle name="20% - Акцент6 3" xfId="42"/>
    <cellStyle name="20% - Акцент6 4" xfId="40"/>
    <cellStyle name="40% - Accent1" xfId="620"/>
    <cellStyle name="40% - Accent2" xfId="621"/>
    <cellStyle name="40% - Accent3" xfId="622"/>
    <cellStyle name="40% - Accent4" xfId="623"/>
    <cellStyle name="40% - Accent5" xfId="624"/>
    <cellStyle name="40% - Accent6" xfId="625"/>
    <cellStyle name="40% - Акцент1 2" xfId="44"/>
    <cellStyle name="40% - Акцент1 3" xfId="45"/>
    <cellStyle name="40% - Акцент1 4" xfId="43"/>
    <cellStyle name="40% - Акцент2 2" xfId="47"/>
    <cellStyle name="40% - Акцент2 3" xfId="48"/>
    <cellStyle name="40% - Акцент2 4" xfId="46"/>
    <cellStyle name="40% - Акцент3 2" xfId="50"/>
    <cellStyle name="40% - Акцент3 3" xfId="51"/>
    <cellStyle name="40% - Акцент3 4" xfId="49"/>
    <cellStyle name="40% - Акцент4 2" xfId="53"/>
    <cellStyle name="40% - Акцент4 3" xfId="54"/>
    <cellStyle name="40% - Акцент4 4" xfId="52"/>
    <cellStyle name="40% - Акцент5 2" xfId="56"/>
    <cellStyle name="40% - Акцент5 3" xfId="57"/>
    <cellStyle name="40% - Акцент5 4" xfId="55"/>
    <cellStyle name="40% - Акцент6 2" xfId="59"/>
    <cellStyle name="40% - Акцент6 3" xfId="60"/>
    <cellStyle name="40% - Акцент6 4" xfId="58"/>
    <cellStyle name="60% - Accent1" xfId="626"/>
    <cellStyle name="60% - Accent2" xfId="627"/>
    <cellStyle name="60% - Accent3" xfId="628"/>
    <cellStyle name="60% - Accent4" xfId="629"/>
    <cellStyle name="60% - Accent5" xfId="630"/>
    <cellStyle name="60% - Accent6" xfId="631"/>
    <cellStyle name="60% - Акцент1 2" xfId="62"/>
    <cellStyle name="60% - Акцент1 3" xfId="63"/>
    <cellStyle name="60% - Акцент1 4" xfId="61"/>
    <cellStyle name="60% - Акцент2 2" xfId="65"/>
    <cellStyle name="60% - Акцент2 3" xfId="66"/>
    <cellStyle name="60% - Акцент2 4" xfId="64"/>
    <cellStyle name="60% - Акцент3 2" xfId="68"/>
    <cellStyle name="60% - Акцент3 3" xfId="69"/>
    <cellStyle name="60% - Акцент3 4" xfId="67"/>
    <cellStyle name="60% - Акцент4 2" xfId="71"/>
    <cellStyle name="60% - Акцент4 3" xfId="72"/>
    <cellStyle name="60% - Акцент4 4" xfId="70"/>
    <cellStyle name="60% - Акцент5 2" xfId="74"/>
    <cellStyle name="60% - Акцент5 3" xfId="75"/>
    <cellStyle name="60% - Акцент5 4" xfId="73"/>
    <cellStyle name="60% - Акцент6 2" xfId="77"/>
    <cellStyle name="60% - Акцент6 3" xfId="78"/>
    <cellStyle name="60% - Акцент6 4" xfId="76"/>
    <cellStyle name="Accent1" xfId="632"/>
    <cellStyle name="Accent2" xfId="633"/>
    <cellStyle name="Accent3" xfId="634"/>
    <cellStyle name="Accent4" xfId="635"/>
    <cellStyle name="Accent5" xfId="636"/>
    <cellStyle name="Accent6" xfId="637"/>
    <cellStyle name="Bad" xfId="638"/>
    <cellStyle name="br" xfId="861"/>
    <cellStyle name="Calculation" xfId="639"/>
    <cellStyle name="Calculation 2" xfId="640"/>
    <cellStyle name="Check Cell" xfId="641"/>
    <cellStyle name="col" xfId="867"/>
    <cellStyle name="ex58" xfId="204"/>
    <cellStyle name="ex59" xfId="852"/>
    <cellStyle name="ex60" xfId="735"/>
    <cellStyle name="ex61" xfId="851"/>
    <cellStyle name="ex62" xfId="866"/>
    <cellStyle name="ex63" xfId="854"/>
    <cellStyle name="ex64" xfId="848"/>
    <cellStyle name="ex65" xfId="868"/>
    <cellStyle name="ex66" xfId="843"/>
    <cellStyle name="ex67" xfId="863"/>
    <cellStyle name="ex68" xfId="289"/>
    <cellStyle name="ex68 2" xfId="860"/>
    <cellStyle name="ex69" xfId="847"/>
    <cellStyle name="ex70" xfId="596"/>
    <cellStyle name="ex70 2" xfId="855"/>
    <cellStyle name="ex71" xfId="853"/>
    <cellStyle name="ex72" xfId="594"/>
    <cellStyle name="ex72 2" xfId="850"/>
    <cellStyle name="ex73" xfId="595"/>
    <cellStyle name="ex73 2" xfId="864"/>
    <cellStyle name="ex74" xfId="857"/>
    <cellStyle name="ex75" xfId="856"/>
    <cellStyle name="ex76" xfId="870"/>
    <cellStyle name="ex77" xfId="844"/>
    <cellStyle name="ex78" xfId="845"/>
    <cellStyle name="ex79" xfId="849"/>
    <cellStyle name="Explanatory Text" xfId="642"/>
    <cellStyle name="Good" xfId="643"/>
    <cellStyle name="Heading 1" xfId="644"/>
    <cellStyle name="Heading 2" xfId="645"/>
    <cellStyle name="Heading 3" xfId="646"/>
    <cellStyle name="Heading 4" xfId="647"/>
    <cellStyle name="Input" xfId="648"/>
    <cellStyle name="Input 2" xfId="649"/>
    <cellStyle name="Linked Cell" xfId="650"/>
    <cellStyle name="Neutral" xfId="651"/>
    <cellStyle name="Normal" xfId="5"/>
    <cellStyle name="Note" xfId="652"/>
    <cellStyle name="Note 2" xfId="653"/>
    <cellStyle name="Output" xfId="654"/>
    <cellStyle name="Output 2" xfId="655"/>
    <cellStyle name="st57" xfId="869"/>
    <cellStyle name="style0" xfId="859"/>
    <cellStyle name="td" xfId="846"/>
    <cellStyle name="Title" xfId="656"/>
    <cellStyle name="Total" xfId="657"/>
    <cellStyle name="Total 2" xfId="658"/>
    <cellStyle name="tr" xfId="862"/>
    <cellStyle name="Warning Text" xfId="659"/>
    <cellStyle name="xl_bot_header" xfId="858"/>
    <cellStyle name="xl37" xfId="30"/>
    <cellStyle name="Акцент1 2" xfId="80"/>
    <cellStyle name="Акцент1 3" xfId="81"/>
    <cellStyle name="Акцент1 4" xfId="79"/>
    <cellStyle name="Акцент2 2" xfId="83"/>
    <cellStyle name="Акцент2 3" xfId="84"/>
    <cellStyle name="Акцент2 4" xfId="82"/>
    <cellStyle name="Акцент3 2" xfId="86"/>
    <cellStyle name="Акцент3 3" xfId="87"/>
    <cellStyle name="Акцент3 4" xfId="85"/>
    <cellStyle name="Акцент4 2" xfId="89"/>
    <cellStyle name="Акцент4 3" xfId="90"/>
    <cellStyle name="Акцент4 4" xfId="88"/>
    <cellStyle name="Акцент5 2" xfId="92"/>
    <cellStyle name="Акцент5 3" xfId="93"/>
    <cellStyle name="Акцент5 4" xfId="91"/>
    <cellStyle name="Акцент6 2" xfId="95"/>
    <cellStyle name="Акцент6 3" xfId="96"/>
    <cellStyle name="Акцент6 4" xfId="94"/>
    <cellStyle name="Ввод  2" xfId="98"/>
    <cellStyle name="Ввод  2 2" xfId="400"/>
    <cellStyle name="Ввод  3" xfId="99"/>
    <cellStyle name="Ввод  3 2" xfId="401"/>
    <cellStyle name="Ввод  4" xfId="97"/>
    <cellStyle name="Ввод  4 2" xfId="399"/>
    <cellStyle name="Вывод 2" xfId="101"/>
    <cellStyle name="Вывод 2 2" xfId="403"/>
    <cellStyle name="Вывод 3" xfId="102"/>
    <cellStyle name="Вывод 3 2" xfId="404"/>
    <cellStyle name="Вывод 4" xfId="100"/>
    <cellStyle name="Вывод 4 2" xfId="402"/>
    <cellStyle name="Вычисление 2" xfId="104"/>
    <cellStyle name="Вычисление 2 2" xfId="406"/>
    <cellStyle name="Вычисление 3" xfId="105"/>
    <cellStyle name="Вычисление 3 2" xfId="407"/>
    <cellStyle name="Вычисление 4" xfId="103"/>
    <cellStyle name="Вычисление 4 2" xfId="405"/>
    <cellStyle name="Денежный 2" xfId="106"/>
    <cellStyle name="Заголовок 1 2" xfId="108"/>
    <cellStyle name="Заголовок 1 3" xfId="109"/>
    <cellStyle name="Заголовок 1 4" xfId="107"/>
    <cellStyle name="Заголовок 2 2" xfId="111"/>
    <cellStyle name="Заголовок 2 3" xfId="112"/>
    <cellStyle name="Заголовок 2 4" xfId="110"/>
    <cellStyle name="Заголовок 3 2" xfId="114"/>
    <cellStyle name="Заголовок 3 3" xfId="115"/>
    <cellStyle name="Заголовок 3 4" xfId="113"/>
    <cellStyle name="Заголовок 4 2" xfId="117"/>
    <cellStyle name="Заголовок 4 3" xfId="118"/>
    <cellStyle name="Заголовок 4 4" xfId="116"/>
    <cellStyle name="Итог 2" xfId="120"/>
    <cellStyle name="Итог 2 2" xfId="409"/>
    <cellStyle name="Итог 3" xfId="121"/>
    <cellStyle name="Итог 3 2" xfId="410"/>
    <cellStyle name="Итог 4" xfId="119"/>
    <cellStyle name="Итог 4 2" xfId="408"/>
    <cellStyle name="Контрольная ячейка 2" xfId="123"/>
    <cellStyle name="Контрольная ячейка 3" xfId="124"/>
    <cellStyle name="Контрольная ячейка 4" xfId="122"/>
    <cellStyle name="Название 2" xfId="126"/>
    <cellStyle name="Название 3" xfId="127"/>
    <cellStyle name="Название 4" xfId="125"/>
    <cellStyle name="Нейтральный 2" xfId="129"/>
    <cellStyle name="Нейтральный 3" xfId="130"/>
    <cellStyle name="Нейтральный 4" xfId="128"/>
    <cellStyle name="Обычный" xfId="0" builtinId="0"/>
    <cellStyle name="Обычный 10" xfId="2"/>
    <cellStyle name="Обычный 10 2" xfId="756"/>
    <cellStyle name="Обычный 10 3" xfId="660"/>
    <cellStyle name="Обычный 10 5" xfId="10"/>
    <cellStyle name="Обычный 11" xfId="386"/>
    <cellStyle name="Обычный 11 2" xfId="661"/>
    <cellStyle name="Обычный 12" xfId="1"/>
    <cellStyle name="Обычный 13" xfId="613"/>
    <cellStyle name="Обычный 14" xfId="865"/>
    <cellStyle name="Обычный 2" xfId="3"/>
    <cellStyle name="Обычный 2 2" xfId="9"/>
    <cellStyle name="Обычный 2 2 2" xfId="133"/>
    <cellStyle name="Обычный 2 2 2 2" xfId="664"/>
    <cellStyle name="Обычный 2 2 2 2 2" xfId="760"/>
    <cellStyle name="Обычный 2 2 2 3" xfId="759"/>
    <cellStyle name="Обычный 2 2 2 4" xfId="663"/>
    <cellStyle name="Обычный 2 2 3" xfId="132"/>
    <cellStyle name="Обычный 2 2 3 2" xfId="761"/>
    <cellStyle name="Обычный 2 2 3 3" xfId="665"/>
    <cellStyle name="Обычный 2 2 4" xfId="758"/>
    <cellStyle name="Обычный 2 2 5" xfId="662"/>
    <cellStyle name="Обычный 2 3" xfId="6"/>
    <cellStyle name="Обычный 2 3 2" xfId="135"/>
    <cellStyle name="Обычный 2 3 2 2" xfId="668"/>
    <cellStyle name="Обычный 2 3 2 2 2" xfId="764"/>
    <cellStyle name="Обычный 2 3 2 3" xfId="763"/>
    <cellStyle name="Обычный 2 3 2 4" xfId="667"/>
    <cellStyle name="Обычный 2 3 3" xfId="134"/>
    <cellStyle name="Обычный 2 3 3 2" xfId="765"/>
    <cellStyle name="Обычный 2 3 3 3" xfId="669"/>
    <cellStyle name="Обычный 2 3 4" xfId="762"/>
    <cellStyle name="Обычный 2 3 5" xfId="666"/>
    <cellStyle name="Обычный 2 4" xfId="11"/>
    <cellStyle name="Обычный 2 4 10" xfId="388"/>
    <cellStyle name="Обычный 2 4 11" xfId="598"/>
    <cellStyle name="Обычный 2 4 12" xfId="670"/>
    <cellStyle name="Обычный 2 4 2" xfId="17"/>
    <cellStyle name="Обычный 2 4 2 2" xfId="137"/>
    <cellStyle name="Обычный 2 4 2 2 2" xfId="610"/>
    <cellStyle name="Обычный 2 4 2 3" xfId="210"/>
    <cellStyle name="Обычный 2 4 2 3 2" xfId="258"/>
    <cellStyle name="Обычный 2 4 2 3 2 2" xfId="355"/>
    <cellStyle name="Обычный 2 4 2 3 2 2 2" xfId="563"/>
    <cellStyle name="Обычный 2 4 2 3 2 3" xfId="467"/>
    <cellStyle name="Обычный 2 4 2 3 3" xfId="282"/>
    <cellStyle name="Обычный 2 4 2 3 3 2" xfId="379"/>
    <cellStyle name="Обычный 2 4 2 3 3 2 2" xfId="587"/>
    <cellStyle name="Обычный 2 4 2 3 3 3" xfId="491"/>
    <cellStyle name="Обычный 2 4 2 3 4" xfId="234"/>
    <cellStyle name="Обычный 2 4 2 3 4 2" xfId="331"/>
    <cellStyle name="Обычный 2 4 2 3 4 2 2" xfId="539"/>
    <cellStyle name="Обычный 2 4 2 3 4 3" xfId="443"/>
    <cellStyle name="Обычный 2 4 2 3 5" xfId="307"/>
    <cellStyle name="Обычный 2 4 2 3 5 2" xfId="515"/>
    <cellStyle name="Обычный 2 4 2 3 6" xfId="419"/>
    <cellStyle name="Обычный 2 4 2 4" xfId="246"/>
    <cellStyle name="Обычный 2 4 2 4 2" xfId="343"/>
    <cellStyle name="Обычный 2 4 2 4 2 2" xfId="551"/>
    <cellStyle name="Обычный 2 4 2 4 3" xfId="455"/>
    <cellStyle name="Обычный 2 4 2 5" xfId="270"/>
    <cellStyle name="Обычный 2 4 2 5 2" xfId="367"/>
    <cellStyle name="Обычный 2 4 2 5 2 2" xfId="575"/>
    <cellStyle name="Обычный 2 4 2 5 3" xfId="479"/>
    <cellStyle name="Обычный 2 4 2 6" xfId="222"/>
    <cellStyle name="Обычный 2 4 2 6 2" xfId="319"/>
    <cellStyle name="Обычный 2 4 2 6 2 2" xfId="527"/>
    <cellStyle name="Обычный 2 4 2 6 3" xfId="431"/>
    <cellStyle name="Обычный 2 4 2 7" xfId="295"/>
    <cellStyle name="Обычный 2 4 2 7 2" xfId="503"/>
    <cellStyle name="Обычный 2 4 2 8" xfId="392"/>
    <cellStyle name="Обычный 2 4 2 9" xfId="602"/>
    <cellStyle name="Обычный 2 4 3" xfId="27"/>
    <cellStyle name="Обычный 2 4 3 2" xfId="214"/>
    <cellStyle name="Обычный 2 4 3 2 2" xfId="262"/>
    <cellStyle name="Обычный 2 4 3 2 2 2" xfId="359"/>
    <cellStyle name="Обычный 2 4 3 2 2 2 2" xfId="567"/>
    <cellStyle name="Обычный 2 4 3 2 2 3" xfId="471"/>
    <cellStyle name="Обычный 2 4 3 2 3" xfId="286"/>
    <cellStyle name="Обычный 2 4 3 2 3 2" xfId="383"/>
    <cellStyle name="Обычный 2 4 3 2 3 2 2" xfId="591"/>
    <cellStyle name="Обычный 2 4 3 2 3 3" xfId="495"/>
    <cellStyle name="Обычный 2 4 3 2 4" xfId="238"/>
    <cellStyle name="Обычный 2 4 3 2 4 2" xfId="335"/>
    <cellStyle name="Обычный 2 4 3 2 4 2 2" xfId="543"/>
    <cellStyle name="Обычный 2 4 3 2 4 3" xfId="447"/>
    <cellStyle name="Обычный 2 4 3 2 5" xfId="311"/>
    <cellStyle name="Обычный 2 4 3 2 5 2" xfId="519"/>
    <cellStyle name="Обычный 2 4 3 2 6" xfId="423"/>
    <cellStyle name="Обычный 2 4 3 3" xfId="250"/>
    <cellStyle name="Обычный 2 4 3 3 2" xfId="347"/>
    <cellStyle name="Обычный 2 4 3 3 2 2" xfId="555"/>
    <cellStyle name="Обычный 2 4 3 3 3" xfId="459"/>
    <cellStyle name="Обычный 2 4 3 4" xfId="274"/>
    <cellStyle name="Обычный 2 4 3 4 2" xfId="371"/>
    <cellStyle name="Обычный 2 4 3 4 2 2" xfId="579"/>
    <cellStyle name="Обычный 2 4 3 4 3" xfId="483"/>
    <cellStyle name="Обычный 2 4 3 5" xfId="226"/>
    <cellStyle name="Обычный 2 4 3 5 2" xfId="323"/>
    <cellStyle name="Обычный 2 4 3 5 2 2" xfId="531"/>
    <cellStyle name="Обычный 2 4 3 5 3" xfId="435"/>
    <cellStyle name="Обычный 2 4 3 6" xfId="299"/>
    <cellStyle name="Обычный 2 4 3 6 2" xfId="507"/>
    <cellStyle name="Обычный 2 4 3 7" xfId="396"/>
    <cellStyle name="Обычный 2 4 3 8" xfId="606"/>
    <cellStyle name="Обычный 2 4 4" xfId="136"/>
    <cellStyle name="Обычный 2 4 5" xfId="206"/>
    <cellStyle name="Обычный 2 4 5 2" xfId="254"/>
    <cellStyle name="Обычный 2 4 5 2 2" xfId="351"/>
    <cellStyle name="Обычный 2 4 5 2 2 2" xfId="559"/>
    <cellStyle name="Обычный 2 4 5 2 3" xfId="463"/>
    <cellStyle name="Обычный 2 4 5 3" xfId="278"/>
    <cellStyle name="Обычный 2 4 5 3 2" xfId="375"/>
    <cellStyle name="Обычный 2 4 5 3 2 2" xfId="583"/>
    <cellStyle name="Обычный 2 4 5 3 3" xfId="487"/>
    <cellStyle name="Обычный 2 4 5 4" xfId="230"/>
    <cellStyle name="Обычный 2 4 5 4 2" xfId="327"/>
    <cellStyle name="Обычный 2 4 5 4 2 2" xfId="535"/>
    <cellStyle name="Обычный 2 4 5 4 3" xfId="439"/>
    <cellStyle name="Обычный 2 4 5 5" xfId="303"/>
    <cellStyle name="Обычный 2 4 5 5 2" xfId="511"/>
    <cellStyle name="Обычный 2 4 5 6" xfId="415"/>
    <cellStyle name="Обычный 2 4 6" xfId="242"/>
    <cellStyle name="Обычный 2 4 6 2" xfId="339"/>
    <cellStyle name="Обычный 2 4 6 2 2" xfId="547"/>
    <cellStyle name="Обычный 2 4 6 3" xfId="451"/>
    <cellStyle name="Обычный 2 4 7" xfId="266"/>
    <cellStyle name="Обычный 2 4 7 2" xfId="363"/>
    <cellStyle name="Обычный 2 4 7 2 2" xfId="571"/>
    <cellStyle name="Обычный 2 4 7 3" xfId="475"/>
    <cellStyle name="Обычный 2 4 8" xfId="218"/>
    <cellStyle name="Обычный 2 4 8 2" xfId="315"/>
    <cellStyle name="Обычный 2 4 8 2 2" xfId="523"/>
    <cellStyle name="Обычный 2 4 8 3" xfId="427"/>
    <cellStyle name="Обычный 2 4 9" xfId="291"/>
    <cellStyle name="Обычный 2 4 9 2" xfId="499"/>
    <cellStyle name="Обычный 2 5" xfId="138"/>
    <cellStyle name="Обычный 2 5 2" xfId="139"/>
    <cellStyle name="Обычный 2 5 2 2" xfId="767"/>
    <cellStyle name="Обычный 2 5 2 3" xfId="672"/>
    <cellStyle name="Обычный 2 5 3" xfId="766"/>
    <cellStyle name="Обычный 2 5 4" xfId="671"/>
    <cellStyle name="Обычный 2 6" xfId="131"/>
    <cellStyle name="Обычный 2 6 2" xfId="768"/>
    <cellStyle name="Обычный 2 6 3" xfId="673"/>
    <cellStyle name="Обычный 2 7" xfId="757"/>
    <cellStyle name="Обычный 3" xfId="8"/>
    <cellStyle name="Обычный 3 2" xfId="140"/>
    <cellStyle name="Обычный 3 2 2" xfId="676"/>
    <cellStyle name="Обычный 3 2 2 2" xfId="677"/>
    <cellStyle name="Обычный 3 2 2 2 2" xfId="678"/>
    <cellStyle name="Обычный 3 2 2 2 2 2" xfId="773"/>
    <cellStyle name="Обычный 3 2 2 2 3" xfId="772"/>
    <cellStyle name="Обычный 3 2 2 3" xfId="679"/>
    <cellStyle name="Обычный 3 2 2 3 2" xfId="774"/>
    <cellStyle name="Обычный 3 2 2 4" xfId="680"/>
    <cellStyle name="Обычный 3 2 2 4 2" xfId="775"/>
    <cellStyle name="Обычный 3 2 2 5" xfId="771"/>
    <cellStyle name="Обычный 3 2 3" xfId="681"/>
    <cellStyle name="Обычный 3 2 3 2" xfId="682"/>
    <cellStyle name="Обычный 3 2 3 2 2" xfId="777"/>
    <cellStyle name="Обычный 3 2 3 3" xfId="776"/>
    <cellStyle name="Обычный 3 2 4" xfId="683"/>
    <cellStyle name="Обычный 3 2 4 2" xfId="778"/>
    <cellStyle name="Обычный 3 2 5" xfId="770"/>
    <cellStyle name="Обычный 3 2 6" xfId="675"/>
    <cellStyle name="Обычный 3 3" xfId="684"/>
    <cellStyle name="Обычный 3 4" xfId="685"/>
    <cellStyle name="Обычный 3 5" xfId="686"/>
    <cellStyle name="Обычный 3 5 2" xfId="687"/>
    <cellStyle name="Обычный 3 5 2 2" xfId="780"/>
    <cellStyle name="Обычный 3 5 3" xfId="779"/>
    <cellStyle name="Обычный 3 6" xfId="688"/>
    <cellStyle name="Обычный 3 6 2" xfId="781"/>
    <cellStyle name="Обычный 3 7" xfId="769"/>
    <cellStyle name="Обычный 3 8" xfId="674"/>
    <cellStyle name="Обычный 4" xfId="4"/>
    <cellStyle name="Обычный 4 10" xfId="290"/>
    <cellStyle name="Обычный 4 10 2" xfId="498"/>
    <cellStyle name="Обычный 4 11" xfId="387"/>
    <cellStyle name="Обычный 4 12" xfId="597"/>
    <cellStyle name="Обычный 4 13" xfId="689"/>
    <cellStyle name="Обычный 4 2" xfId="12"/>
    <cellStyle name="Обычный 4 2 10" xfId="599"/>
    <cellStyle name="Обычный 4 2 11" xfId="690"/>
    <cellStyle name="Обычный 4 2 2" xfId="18"/>
    <cellStyle name="Обычный 4 2 2 2" xfId="211"/>
    <cellStyle name="Обычный 4 2 2 2 2" xfId="259"/>
    <cellStyle name="Обычный 4 2 2 2 2 2" xfId="356"/>
    <cellStyle name="Обычный 4 2 2 2 2 2 2" xfId="564"/>
    <cellStyle name="Обычный 4 2 2 2 2 3" xfId="468"/>
    <cellStyle name="Обычный 4 2 2 2 3" xfId="283"/>
    <cellStyle name="Обычный 4 2 2 2 3 2" xfId="380"/>
    <cellStyle name="Обычный 4 2 2 2 3 2 2" xfId="588"/>
    <cellStyle name="Обычный 4 2 2 2 3 3" xfId="492"/>
    <cellStyle name="Обычный 4 2 2 2 4" xfId="235"/>
    <cellStyle name="Обычный 4 2 2 2 4 2" xfId="332"/>
    <cellStyle name="Обычный 4 2 2 2 4 2 2" xfId="540"/>
    <cellStyle name="Обычный 4 2 2 2 4 3" xfId="444"/>
    <cellStyle name="Обычный 4 2 2 2 5" xfId="308"/>
    <cellStyle name="Обычный 4 2 2 2 5 2" xfId="516"/>
    <cellStyle name="Обычный 4 2 2 2 6" xfId="420"/>
    <cellStyle name="Обычный 4 2 2 2 7" xfId="611"/>
    <cellStyle name="Обычный 4 2 2 3" xfId="247"/>
    <cellStyle name="Обычный 4 2 2 3 2" xfId="344"/>
    <cellStyle name="Обычный 4 2 2 3 2 2" xfId="552"/>
    <cellStyle name="Обычный 4 2 2 3 3" xfId="456"/>
    <cellStyle name="Обычный 4 2 2 4" xfId="271"/>
    <cellStyle name="Обычный 4 2 2 4 2" xfId="368"/>
    <cellStyle name="Обычный 4 2 2 4 2 2" xfId="576"/>
    <cellStyle name="Обычный 4 2 2 4 3" xfId="480"/>
    <cellStyle name="Обычный 4 2 2 5" xfId="223"/>
    <cellStyle name="Обычный 4 2 2 5 2" xfId="320"/>
    <cellStyle name="Обычный 4 2 2 5 2 2" xfId="528"/>
    <cellStyle name="Обычный 4 2 2 5 3" xfId="432"/>
    <cellStyle name="Обычный 4 2 2 6" xfId="296"/>
    <cellStyle name="Обычный 4 2 2 6 2" xfId="504"/>
    <cellStyle name="Обычный 4 2 2 7" xfId="393"/>
    <cellStyle name="Обычный 4 2 2 8" xfId="603"/>
    <cellStyle name="Обычный 4 2 3" xfId="28"/>
    <cellStyle name="Обычный 4 2 3 2" xfId="215"/>
    <cellStyle name="Обычный 4 2 3 2 2" xfId="263"/>
    <cellStyle name="Обычный 4 2 3 2 2 2" xfId="360"/>
    <cellStyle name="Обычный 4 2 3 2 2 2 2" xfId="568"/>
    <cellStyle name="Обычный 4 2 3 2 2 3" xfId="472"/>
    <cellStyle name="Обычный 4 2 3 2 3" xfId="287"/>
    <cellStyle name="Обычный 4 2 3 2 3 2" xfId="384"/>
    <cellStyle name="Обычный 4 2 3 2 3 2 2" xfId="592"/>
    <cellStyle name="Обычный 4 2 3 2 3 3" xfId="496"/>
    <cellStyle name="Обычный 4 2 3 2 4" xfId="239"/>
    <cellStyle name="Обычный 4 2 3 2 4 2" xfId="336"/>
    <cellStyle name="Обычный 4 2 3 2 4 2 2" xfId="544"/>
    <cellStyle name="Обычный 4 2 3 2 4 3" xfId="448"/>
    <cellStyle name="Обычный 4 2 3 2 5" xfId="312"/>
    <cellStyle name="Обычный 4 2 3 2 5 2" xfId="520"/>
    <cellStyle name="Обычный 4 2 3 2 6" xfId="424"/>
    <cellStyle name="Обычный 4 2 3 3" xfId="251"/>
    <cellStyle name="Обычный 4 2 3 3 2" xfId="348"/>
    <cellStyle name="Обычный 4 2 3 3 2 2" xfId="556"/>
    <cellStyle name="Обычный 4 2 3 3 3" xfId="460"/>
    <cellStyle name="Обычный 4 2 3 4" xfId="275"/>
    <cellStyle name="Обычный 4 2 3 4 2" xfId="372"/>
    <cellStyle name="Обычный 4 2 3 4 2 2" xfId="580"/>
    <cellStyle name="Обычный 4 2 3 4 3" xfId="484"/>
    <cellStyle name="Обычный 4 2 3 5" xfId="227"/>
    <cellStyle name="Обычный 4 2 3 5 2" xfId="324"/>
    <cellStyle name="Обычный 4 2 3 5 2 2" xfId="532"/>
    <cellStyle name="Обычный 4 2 3 5 3" xfId="436"/>
    <cellStyle name="Обычный 4 2 3 6" xfId="300"/>
    <cellStyle name="Обычный 4 2 3 6 2" xfId="508"/>
    <cellStyle name="Обычный 4 2 3 7" xfId="397"/>
    <cellStyle name="Обычный 4 2 3 8" xfId="607"/>
    <cellStyle name="Обычный 4 2 4" xfId="207"/>
    <cellStyle name="Обычный 4 2 4 2" xfId="255"/>
    <cellStyle name="Обычный 4 2 4 2 2" xfId="352"/>
    <cellStyle name="Обычный 4 2 4 2 2 2" xfId="560"/>
    <cellStyle name="Обычный 4 2 4 2 3" xfId="464"/>
    <cellStyle name="Обычный 4 2 4 3" xfId="279"/>
    <cellStyle name="Обычный 4 2 4 3 2" xfId="376"/>
    <cellStyle name="Обычный 4 2 4 3 2 2" xfId="584"/>
    <cellStyle name="Обычный 4 2 4 3 3" xfId="488"/>
    <cellStyle name="Обычный 4 2 4 4" xfId="231"/>
    <cellStyle name="Обычный 4 2 4 4 2" xfId="328"/>
    <cellStyle name="Обычный 4 2 4 4 2 2" xfId="536"/>
    <cellStyle name="Обычный 4 2 4 4 3" xfId="440"/>
    <cellStyle name="Обычный 4 2 4 5" xfId="304"/>
    <cellStyle name="Обычный 4 2 4 5 2" xfId="512"/>
    <cellStyle name="Обычный 4 2 4 6" xfId="416"/>
    <cellStyle name="Обычный 4 2 5" xfId="243"/>
    <cellStyle name="Обычный 4 2 5 2" xfId="340"/>
    <cellStyle name="Обычный 4 2 5 2 2" xfId="548"/>
    <cellStyle name="Обычный 4 2 5 3" xfId="452"/>
    <cellStyle name="Обычный 4 2 6" xfId="267"/>
    <cellStyle name="Обычный 4 2 6 2" xfId="364"/>
    <cellStyle name="Обычный 4 2 6 2 2" xfId="572"/>
    <cellStyle name="Обычный 4 2 6 3" xfId="476"/>
    <cellStyle name="Обычный 4 2 7" xfId="219"/>
    <cellStyle name="Обычный 4 2 7 2" xfId="316"/>
    <cellStyle name="Обычный 4 2 7 2 2" xfId="524"/>
    <cellStyle name="Обычный 4 2 7 3" xfId="428"/>
    <cellStyle name="Обычный 4 2 8" xfId="292"/>
    <cellStyle name="Обычный 4 2 8 2" xfId="500"/>
    <cellStyle name="Обычный 4 2 9" xfId="389"/>
    <cellStyle name="Обычный 4 3" xfId="16"/>
    <cellStyle name="Обычный 4 3 2" xfId="209"/>
    <cellStyle name="Обычный 4 3 2 2" xfId="257"/>
    <cellStyle name="Обычный 4 3 2 2 2" xfId="354"/>
    <cellStyle name="Обычный 4 3 2 2 2 2" xfId="562"/>
    <cellStyle name="Обычный 4 3 2 2 3" xfId="466"/>
    <cellStyle name="Обычный 4 3 2 3" xfId="281"/>
    <cellStyle name="Обычный 4 3 2 3 2" xfId="378"/>
    <cellStyle name="Обычный 4 3 2 3 2 2" xfId="586"/>
    <cellStyle name="Обычный 4 3 2 3 3" xfId="490"/>
    <cellStyle name="Обычный 4 3 2 4" xfId="233"/>
    <cellStyle name="Обычный 4 3 2 4 2" xfId="330"/>
    <cellStyle name="Обычный 4 3 2 4 2 2" xfId="538"/>
    <cellStyle name="Обычный 4 3 2 4 3" xfId="442"/>
    <cellStyle name="Обычный 4 3 2 5" xfId="306"/>
    <cellStyle name="Обычный 4 3 2 5 2" xfId="514"/>
    <cellStyle name="Обычный 4 3 2 6" xfId="418"/>
    <cellStyle name="Обычный 4 3 2 7" xfId="609"/>
    <cellStyle name="Обычный 4 3 3" xfId="245"/>
    <cellStyle name="Обычный 4 3 3 2" xfId="342"/>
    <cellStyle name="Обычный 4 3 3 2 2" xfId="550"/>
    <cellStyle name="Обычный 4 3 3 3" xfId="454"/>
    <cellStyle name="Обычный 4 3 4" xfId="269"/>
    <cellStyle name="Обычный 4 3 4 2" xfId="366"/>
    <cellStyle name="Обычный 4 3 4 2 2" xfId="574"/>
    <cellStyle name="Обычный 4 3 4 3" xfId="478"/>
    <cellStyle name="Обычный 4 3 5" xfId="221"/>
    <cellStyle name="Обычный 4 3 5 2" xfId="318"/>
    <cellStyle name="Обычный 4 3 5 2 2" xfId="526"/>
    <cellStyle name="Обычный 4 3 5 3" xfId="430"/>
    <cellStyle name="Обычный 4 3 6" xfId="294"/>
    <cellStyle name="Обычный 4 3 6 2" xfId="502"/>
    <cellStyle name="Обычный 4 3 7" xfId="391"/>
    <cellStyle name="Обычный 4 3 8" xfId="601"/>
    <cellStyle name="Обычный 4 4" xfId="23"/>
    <cellStyle name="Обычный 4 4 2" xfId="213"/>
    <cellStyle name="Обычный 4 4 2 2" xfId="261"/>
    <cellStyle name="Обычный 4 4 2 2 2" xfId="358"/>
    <cellStyle name="Обычный 4 4 2 2 2 2" xfId="566"/>
    <cellStyle name="Обычный 4 4 2 2 3" xfId="470"/>
    <cellStyle name="Обычный 4 4 2 3" xfId="285"/>
    <cellStyle name="Обычный 4 4 2 3 2" xfId="382"/>
    <cellStyle name="Обычный 4 4 2 3 2 2" xfId="590"/>
    <cellStyle name="Обычный 4 4 2 3 3" xfId="494"/>
    <cellStyle name="Обычный 4 4 2 4" xfId="237"/>
    <cellStyle name="Обычный 4 4 2 4 2" xfId="334"/>
    <cellStyle name="Обычный 4 4 2 4 2 2" xfId="542"/>
    <cellStyle name="Обычный 4 4 2 4 3" xfId="446"/>
    <cellStyle name="Обычный 4 4 2 5" xfId="310"/>
    <cellStyle name="Обычный 4 4 2 5 2" xfId="518"/>
    <cellStyle name="Обычный 4 4 2 6" xfId="422"/>
    <cellStyle name="Обычный 4 4 3" xfId="249"/>
    <cellStyle name="Обычный 4 4 3 2" xfId="346"/>
    <cellStyle name="Обычный 4 4 3 2 2" xfId="554"/>
    <cellStyle name="Обычный 4 4 3 3" xfId="458"/>
    <cellStyle name="Обычный 4 4 4" xfId="273"/>
    <cellStyle name="Обычный 4 4 4 2" xfId="370"/>
    <cellStyle name="Обычный 4 4 4 2 2" xfId="578"/>
    <cellStyle name="Обычный 4 4 4 3" xfId="482"/>
    <cellStyle name="Обычный 4 4 5" xfId="225"/>
    <cellStyle name="Обычный 4 4 5 2" xfId="322"/>
    <cellStyle name="Обычный 4 4 5 2 2" xfId="530"/>
    <cellStyle name="Обычный 4 4 5 3" xfId="434"/>
    <cellStyle name="Обычный 4 4 6" xfId="298"/>
    <cellStyle name="Обычный 4 4 6 2" xfId="506"/>
    <cellStyle name="Обычный 4 4 7" xfId="395"/>
    <cellStyle name="Обычный 4 4 8" xfId="605"/>
    <cellStyle name="Обычный 4 5" xfId="141"/>
    <cellStyle name="Обычный 4 6" xfId="205"/>
    <cellStyle name="Обычный 4 6 2" xfId="253"/>
    <cellStyle name="Обычный 4 6 2 2" xfId="350"/>
    <cellStyle name="Обычный 4 6 2 2 2" xfId="558"/>
    <cellStyle name="Обычный 4 6 2 3" xfId="462"/>
    <cellStyle name="Обычный 4 6 3" xfId="277"/>
    <cellStyle name="Обычный 4 6 3 2" xfId="374"/>
    <cellStyle name="Обычный 4 6 3 2 2" xfId="582"/>
    <cellStyle name="Обычный 4 6 3 3" xfId="486"/>
    <cellStyle name="Обычный 4 6 4" xfId="229"/>
    <cellStyle name="Обычный 4 6 4 2" xfId="326"/>
    <cellStyle name="Обычный 4 6 4 2 2" xfId="534"/>
    <cellStyle name="Обычный 4 6 4 3" xfId="438"/>
    <cellStyle name="Обычный 4 6 5" xfId="302"/>
    <cellStyle name="Обычный 4 6 5 2" xfId="510"/>
    <cellStyle name="Обычный 4 6 6" xfId="414"/>
    <cellStyle name="Обычный 4 7" xfId="241"/>
    <cellStyle name="Обычный 4 7 2" xfId="338"/>
    <cellStyle name="Обычный 4 7 2 2" xfId="546"/>
    <cellStyle name="Обычный 4 7 3" xfId="450"/>
    <cellStyle name="Обычный 4 8" xfId="265"/>
    <cellStyle name="Обычный 4 8 2" xfId="362"/>
    <cellStyle name="Обычный 4 8 2 2" xfId="570"/>
    <cellStyle name="Обычный 4 8 3" xfId="474"/>
    <cellStyle name="Обычный 4 9" xfId="217"/>
    <cellStyle name="Обычный 4 9 2" xfId="314"/>
    <cellStyle name="Обычный 4 9 2 2" xfId="522"/>
    <cellStyle name="Обычный 4 9 3" xfId="426"/>
    <cellStyle name="Обычный 5" xfId="15"/>
    <cellStyle name="Обычный 5 2" xfId="142"/>
    <cellStyle name="Обычный 5 2 2" xfId="693"/>
    <cellStyle name="Обычный 5 2 2 2" xfId="694"/>
    <cellStyle name="Обычный 5 2 2 2 2" xfId="785"/>
    <cellStyle name="Обычный 5 2 2 3" xfId="784"/>
    <cellStyle name="Обычный 5 2 3" xfId="695"/>
    <cellStyle name="Обычный 5 2 3 2" xfId="786"/>
    <cellStyle name="Обычный 5 2 4" xfId="783"/>
    <cellStyle name="Обычный 5 2 5" xfId="692"/>
    <cellStyle name="Обычный 5 3" xfId="696"/>
    <cellStyle name="Обычный 5 3 2" xfId="697"/>
    <cellStyle name="Обычный 5 3 2 2" xfId="698"/>
    <cellStyle name="Обычный 5 3 2 2 2" xfId="789"/>
    <cellStyle name="Обычный 5 3 2 3" xfId="788"/>
    <cellStyle name="Обычный 5 3 3" xfId="699"/>
    <cellStyle name="Обычный 5 3 3 2" xfId="790"/>
    <cellStyle name="Обычный 5 3 4" xfId="787"/>
    <cellStyle name="Обычный 5 4" xfId="700"/>
    <cellStyle name="Обычный 5 4 2" xfId="701"/>
    <cellStyle name="Обычный 5 4 2 2" xfId="792"/>
    <cellStyle name="Обычный 5 4 3" xfId="791"/>
    <cellStyle name="Обычный 5 5" xfId="702"/>
    <cellStyle name="Обычный 5 5 2" xfId="793"/>
    <cellStyle name="Обычный 5 6" xfId="782"/>
    <cellStyle name="Обычный 5 7" xfId="691"/>
    <cellStyle name="Обычный 6" xfId="143"/>
    <cellStyle name="Обычный 6 2" xfId="704"/>
    <cellStyle name="Обычный 6 2 2" xfId="705"/>
    <cellStyle name="Обычный 6 2 2 2" xfId="706"/>
    <cellStyle name="Обычный 6 2 2 2 2" xfId="707"/>
    <cellStyle name="Обычный 6 2 2 2 2 2" xfId="798"/>
    <cellStyle name="Обычный 6 2 2 2 3" xfId="797"/>
    <cellStyle name="Обычный 6 2 2 3" xfId="708"/>
    <cellStyle name="Обычный 6 2 2 3 2" xfId="799"/>
    <cellStyle name="Обычный 6 2 2 4" xfId="796"/>
    <cellStyle name="Обычный 6 2 3" xfId="709"/>
    <cellStyle name="Обычный 6 2 3 2" xfId="710"/>
    <cellStyle name="Обычный 6 2 3 2 2" xfId="711"/>
    <cellStyle name="Обычный 6 2 3 2 2 2" xfId="802"/>
    <cellStyle name="Обычный 6 2 3 2 3" xfId="801"/>
    <cellStyle name="Обычный 6 2 3 3" xfId="712"/>
    <cellStyle name="Обычный 6 2 3 3 2" xfId="803"/>
    <cellStyle name="Обычный 6 2 3 4" xfId="800"/>
    <cellStyle name="Обычный 6 2 4" xfId="713"/>
    <cellStyle name="Обычный 6 2 4 2" xfId="714"/>
    <cellStyle name="Обычный 6 2 4 2 2" xfId="805"/>
    <cellStyle name="Обычный 6 2 4 3" xfId="804"/>
    <cellStyle name="Обычный 6 2 5" xfId="715"/>
    <cellStyle name="Обычный 6 2 5 2" xfId="806"/>
    <cellStyle name="Обычный 6 2 6" xfId="795"/>
    <cellStyle name="Обычный 6 3" xfId="716"/>
    <cellStyle name="Обычный 6 3 2" xfId="717"/>
    <cellStyle name="Обычный 6 3 2 2" xfId="718"/>
    <cellStyle name="Обычный 6 3 2 2 2" xfId="809"/>
    <cellStyle name="Обычный 6 3 2 3" xfId="808"/>
    <cellStyle name="Обычный 6 3 3" xfId="719"/>
    <cellStyle name="Обычный 6 3 3 2" xfId="810"/>
    <cellStyle name="Обычный 6 3 4" xfId="807"/>
    <cellStyle name="Обычный 6 4" xfId="720"/>
    <cellStyle name="Обычный 6 4 2" xfId="721"/>
    <cellStyle name="Обычный 6 4 2 2" xfId="722"/>
    <cellStyle name="Обычный 6 4 2 2 2" xfId="813"/>
    <cellStyle name="Обычный 6 4 2 3" xfId="812"/>
    <cellStyle name="Обычный 6 4 3" xfId="723"/>
    <cellStyle name="Обычный 6 4 3 2" xfId="814"/>
    <cellStyle name="Обычный 6 4 4" xfId="811"/>
    <cellStyle name="Обычный 6 5" xfId="724"/>
    <cellStyle name="Обычный 6 5 2" xfId="725"/>
    <cellStyle name="Обычный 6 5 2 2" xfId="816"/>
    <cellStyle name="Обычный 6 5 3" xfId="815"/>
    <cellStyle name="Обычный 6 6" xfId="726"/>
    <cellStyle name="Обычный 6 6 2" xfId="817"/>
    <cellStyle name="Обычный 6 7" xfId="794"/>
    <cellStyle name="Обычный 6 8" xfId="703"/>
    <cellStyle name="Обычный 7" xfId="7"/>
    <cellStyle name="Обычный 7 2" xfId="728"/>
    <cellStyle name="Обычный 7 2 2" xfId="729"/>
    <cellStyle name="Обычный 7 2 2 2" xfId="730"/>
    <cellStyle name="Обычный 7 2 2 2 2" xfId="821"/>
    <cellStyle name="Обычный 7 2 2 3" xfId="820"/>
    <cellStyle name="Обычный 7 2 3" xfId="731"/>
    <cellStyle name="Обычный 7 2 3 2" xfId="822"/>
    <cellStyle name="Обычный 7 2 4" xfId="819"/>
    <cellStyle name="Обычный 7 3" xfId="732"/>
    <cellStyle name="Обычный 7 3 2" xfId="733"/>
    <cellStyle name="Обычный 7 3 2 2" xfId="824"/>
    <cellStyle name="Обычный 7 3 3" xfId="823"/>
    <cellStyle name="Обычный 7 4" xfId="734"/>
    <cellStyle name="Обычный 7 4 2" xfId="825"/>
    <cellStyle name="Обычный 7 5" xfId="818"/>
    <cellStyle name="Обычный 7 6" xfId="727"/>
    <cellStyle name="Обычный 8" xfId="13"/>
    <cellStyle name="Обычный 8 10" xfId="600"/>
    <cellStyle name="Обычный 8 2" xfId="19"/>
    <cellStyle name="Обычный 8 2 2" xfId="212"/>
    <cellStyle name="Обычный 8 2 2 2" xfId="260"/>
    <cellStyle name="Обычный 8 2 2 2 2" xfId="357"/>
    <cellStyle name="Обычный 8 2 2 2 2 2" xfId="565"/>
    <cellStyle name="Обычный 8 2 2 2 3" xfId="469"/>
    <cellStyle name="Обычный 8 2 2 3" xfId="284"/>
    <cellStyle name="Обычный 8 2 2 3 2" xfId="381"/>
    <cellStyle name="Обычный 8 2 2 3 2 2" xfId="589"/>
    <cellStyle name="Обычный 8 2 2 3 3" xfId="493"/>
    <cellStyle name="Обычный 8 2 2 4" xfId="236"/>
    <cellStyle name="Обычный 8 2 2 4 2" xfId="333"/>
    <cellStyle name="Обычный 8 2 2 4 2 2" xfId="541"/>
    <cellStyle name="Обычный 8 2 2 4 3" xfId="445"/>
    <cellStyle name="Обычный 8 2 2 5" xfId="309"/>
    <cellStyle name="Обычный 8 2 2 5 2" xfId="517"/>
    <cellStyle name="Обычный 8 2 2 6" xfId="421"/>
    <cellStyle name="Обычный 8 2 2 7" xfId="612"/>
    <cellStyle name="Обычный 8 2 3" xfId="248"/>
    <cellStyle name="Обычный 8 2 3 2" xfId="345"/>
    <cellStyle name="Обычный 8 2 3 2 2" xfId="553"/>
    <cellStyle name="Обычный 8 2 3 3" xfId="457"/>
    <cellStyle name="Обычный 8 2 4" xfId="272"/>
    <cellStyle name="Обычный 8 2 4 2" xfId="369"/>
    <cellStyle name="Обычный 8 2 4 2 2" xfId="577"/>
    <cellStyle name="Обычный 8 2 4 3" xfId="481"/>
    <cellStyle name="Обычный 8 2 5" xfId="224"/>
    <cellStyle name="Обычный 8 2 5 2" xfId="321"/>
    <cellStyle name="Обычный 8 2 5 2 2" xfId="529"/>
    <cellStyle name="Обычный 8 2 5 3" xfId="433"/>
    <cellStyle name="Обычный 8 2 6" xfId="297"/>
    <cellStyle name="Обычный 8 2 6 2" xfId="505"/>
    <cellStyle name="Обычный 8 2 7" xfId="394"/>
    <cellStyle name="Обычный 8 2 8" xfId="604"/>
    <cellStyle name="Обычный 8 3" xfId="29"/>
    <cellStyle name="Обычный 8 3 2" xfId="216"/>
    <cellStyle name="Обычный 8 3 2 2" xfId="264"/>
    <cellStyle name="Обычный 8 3 2 2 2" xfId="361"/>
    <cellStyle name="Обычный 8 3 2 2 2 2" xfId="569"/>
    <cellStyle name="Обычный 8 3 2 2 3" xfId="473"/>
    <cellStyle name="Обычный 8 3 2 3" xfId="288"/>
    <cellStyle name="Обычный 8 3 2 3 2" xfId="385"/>
    <cellStyle name="Обычный 8 3 2 3 2 2" xfId="593"/>
    <cellStyle name="Обычный 8 3 2 3 3" xfId="497"/>
    <cellStyle name="Обычный 8 3 2 4" xfId="240"/>
    <cellStyle name="Обычный 8 3 2 4 2" xfId="337"/>
    <cellStyle name="Обычный 8 3 2 4 2 2" xfId="545"/>
    <cellStyle name="Обычный 8 3 2 4 3" xfId="449"/>
    <cellStyle name="Обычный 8 3 2 5" xfId="313"/>
    <cellStyle name="Обычный 8 3 2 5 2" xfId="521"/>
    <cellStyle name="Обычный 8 3 2 6" xfId="425"/>
    <cellStyle name="Обычный 8 3 3" xfId="252"/>
    <cellStyle name="Обычный 8 3 3 2" xfId="349"/>
    <cellStyle name="Обычный 8 3 3 2 2" xfId="557"/>
    <cellStyle name="Обычный 8 3 3 3" xfId="461"/>
    <cellStyle name="Обычный 8 3 4" xfId="276"/>
    <cellStyle name="Обычный 8 3 4 2" xfId="373"/>
    <cellStyle name="Обычный 8 3 4 2 2" xfId="581"/>
    <cellStyle name="Обычный 8 3 4 3" xfId="485"/>
    <cellStyle name="Обычный 8 3 5" xfId="228"/>
    <cellStyle name="Обычный 8 3 5 2" xfId="325"/>
    <cellStyle name="Обычный 8 3 5 2 2" xfId="533"/>
    <cellStyle name="Обычный 8 3 5 3" xfId="437"/>
    <cellStyle name="Обычный 8 3 6" xfId="301"/>
    <cellStyle name="Обычный 8 3 6 2" xfId="509"/>
    <cellStyle name="Обычный 8 3 7" xfId="398"/>
    <cellStyle name="Обычный 8 3 8" xfId="608"/>
    <cellStyle name="Обычный 8 4" xfId="208"/>
    <cellStyle name="Обычный 8 4 2" xfId="256"/>
    <cellStyle name="Обычный 8 4 2 2" xfId="353"/>
    <cellStyle name="Обычный 8 4 2 2 2" xfId="561"/>
    <cellStyle name="Обычный 8 4 2 3" xfId="465"/>
    <cellStyle name="Обычный 8 4 3" xfId="280"/>
    <cellStyle name="Обычный 8 4 3 2" xfId="377"/>
    <cellStyle name="Обычный 8 4 3 2 2" xfId="585"/>
    <cellStyle name="Обычный 8 4 3 3" xfId="489"/>
    <cellStyle name="Обычный 8 4 4" xfId="232"/>
    <cellStyle name="Обычный 8 4 4 2" xfId="329"/>
    <cellStyle name="Обычный 8 4 4 2 2" xfId="537"/>
    <cellStyle name="Обычный 8 4 4 3" xfId="441"/>
    <cellStyle name="Обычный 8 4 5" xfId="305"/>
    <cellStyle name="Обычный 8 4 5 2" xfId="513"/>
    <cellStyle name="Обычный 8 4 6" xfId="417"/>
    <cellStyle name="Обычный 8 5" xfId="244"/>
    <cellStyle name="Обычный 8 5 2" xfId="341"/>
    <cellStyle name="Обычный 8 5 2 2" xfId="549"/>
    <cellStyle name="Обычный 8 5 3" xfId="453"/>
    <cellStyle name="Обычный 8 6" xfId="268"/>
    <cellStyle name="Обычный 8 6 2" xfId="365"/>
    <cellStyle name="Обычный 8 6 2 2" xfId="573"/>
    <cellStyle name="Обычный 8 6 3" xfId="477"/>
    <cellStyle name="Обычный 8 7" xfId="220"/>
    <cellStyle name="Обычный 8 7 2" xfId="317"/>
    <cellStyle name="Обычный 8 7 2 2" xfId="525"/>
    <cellStyle name="Обычный 8 7 3" xfId="429"/>
    <cellStyle name="Обычный 8 8" xfId="293"/>
    <cellStyle name="Обычный 8 8 2" xfId="501"/>
    <cellStyle name="Обычный 8 9" xfId="390"/>
    <cellStyle name="Обычный 9" xfId="144"/>
    <cellStyle name="Обычный 9 2" xfId="826"/>
    <cellStyle name="Обычный 9 3" xfId="736"/>
    <cellStyle name="Плохой 2" xfId="146"/>
    <cellStyle name="Плохой 3" xfId="147"/>
    <cellStyle name="Плохой 4" xfId="145"/>
    <cellStyle name="Пояснение 2" xfId="149"/>
    <cellStyle name="Пояснение 3" xfId="150"/>
    <cellStyle name="Пояснение 4" xfId="148"/>
    <cellStyle name="Примечание 2" xfId="152"/>
    <cellStyle name="Примечание 2 2" xfId="412"/>
    <cellStyle name="Примечание 3" xfId="153"/>
    <cellStyle name="Примечание 3 2" xfId="413"/>
    <cellStyle name="Примечание 4" xfId="151"/>
    <cellStyle name="Примечание 4 2" xfId="411"/>
    <cellStyle name="Процентный 2" xfId="154"/>
    <cellStyle name="Процентный 2 2" xfId="155"/>
    <cellStyle name="Процентный 2 2 2" xfId="156"/>
    <cellStyle name="Процентный 2 2 2 2" xfId="157"/>
    <cellStyle name="Процентный 2 2 2 2 2" xfId="830"/>
    <cellStyle name="Процентный 2 2 2 2 3" xfId="741"/>
    <cellStyle name="Процентный 2 2 2 3" xfId="829"/>
    <cellStyle name="Процентный 2 2 2 4" xfId="740"/>
    <cellStyle name="Процентный 2 2 3" xfId="158"/>
    <cellStyle name="Процентный 2 2 3 2" xfId="159"/>
    <cellStyle name="Процентный 2 2 3 2 2" xfId="831"/>
    <cellStyle name="Процентный 2 2 3 3" xfId="742"/>
    <cellStyle name="Процентный 2 2 4" xfId="160"/>
    <cellStyle name="Процентный 2 2 4 2" xfId="161"/>
    <cellStyle name="Процентный 2 2 4 3" xfId="828"/>
    <cellStyle name="Процентный 2 2 5" xfId="162"/>
    <cellStyle name="Процентный 2 2 5 2" xfId="163"/>
    <cellStyle name="Процентный 2 2 6" xfId="739"/>
    <cellStyle name="Процентный 2 3" xfId="164"/>
    <cellStyle name="Процентный 2 3 2" xfId="165"/>
    <cellStyle name="Процентный 2 3 2 2" xfId="745"/>
    <cellStyle name="Процентный 2 3 2 2 2" xfId="834"/>
    <cellStyle name="Процентный 2 3 2 3" xfId="833"/>
    <cellStyle name="Процентный 2 3 2 4" xfId="744"/>
    <cellStyle name="Процентный 2 3 3" xfId="746"/>
    <cellStyle name="Процентный 2 3 3 2" xfId="835"/>
    <cellStyle name="Процентный 2 3 4" xfId="832"/>
    <cellStyle name="Процентный 2 3 5" xfId="743"/>
    <cellStyle name="Процентный 2 4" xfId="166"/>
    <cellStyle name="Процентный 2 4 2" xfId="167"/>
    <cellStyle name="Процентный 2 4 2 2" xfId="837"/>
    <cellStyle name="Процентный 2 4 2 3" xfId="748"/>
    <cellStyle name="Процентный 2 4 3" xfId="836"/>
    <cellStyle name="Процентный 2 4 4" xfId="747"/>
    <cellStyle name="Процентный 2 5" xfId="168"/>
    <cellStyle name="Процентный 2 5 2" xfId="169"/>
    <cellStyle name="Процентный 2 5 2 2" xfId="838"/>
    <cellStyle name="Процентный 2 5 3" xfId="749"/>
    <cellStyle name="Процентный 2 6" xfId="170"/>
    <cellStyle name="Процентный 2 6 2" xfId="171"/>
    <cellStyle name="Процентный 2 6 3" xfId="827"/>
    <cellStyle name="Процентный 2 7" xfId="738"/>
    <cellStyle name="Процентный 3" xfId="737"/>
    <cellStyle name="Связанная ячейка 2" xfId="173"/>
    <cellStyle name="Связанная ячейка 3" xfId="174"/>
    <cellStyle name="Связанная ячейка 4" xfId="172"/>
    <cellStyle name="Стиль 1" xfId="175"/>
    <cellStyle name="Текст предупреждения 2" xfId="177"/>
    <cellStyle name="Текст предупреждения 3" xfId="178"/>
    <cellStyle name="Текст предупреждения 4" xfId="176"/>
    <cellStyle name="Финансовый 2" xfId="14"/>
    <cellStyle name="Финансовый 2 2" xfId="181"/>
    <cellStyle name="Финансовый 2 2 2" xfId="182"/>
    <cellStyle name="Финансовый 2 2 2 2" xfId="183"/>
    <cellStyle name="Финансовый 2 2 3" xfId="184"/>
    <cellStyle name="Финансовый 2 2 3 2" xfId="185"/>
    <cellStyle name="Финансовый 2 2 4" xfId="186"/>
    <cellStyle name="Финансовый 2 2 4 2" xfId="187"/>
    <cellStyle name="Финансовый 2 2 5" xfId="188"/>
    <cellStyle name="Финансовый 2 2 5 2" xfId="189"/>
    <cellStyle name="Финансовый 2 3" xfId="190"/>
    <cellStyle name="Финансовый 2 3 2" xfId="191"/>
    <cellStyle name="Финансовый 2 4" xfId="192"/>
    <cellStyle name="Финансовый 2 4 2" xfId="193"/>
    <cellStyle name="Финансовый 2 5" xfId="194"/>
    <cellStyle name="Финансовый 2 5 2" xfId="195"/>
    <cellStyle name="Финансовый 2 6" xfId="196"/>
    <cellStyle name="Финансовый 2 6 2" xfId="197"/>
    <cellStyle name="Финансовый 2 7" xfId="180"/>
    <cellStyle name="Финансовый 2 8" xfId="751"/>
    <cellStyle name="Финансовый 3" xfId="198"/>
    <cellStyle name="Финансовый 3 2" xfId="753"/>
    <cellStyle name="Финансовый 3 2 2" xfId="840"/>
    <cellStyle name="Финансовый 3 3" xfId="754"/>
    <cellStyle name="Финансовый 3 3 2" xfId="841"/>
    <cellStyle name="Финансовый 3 4" xfId="755"/>
    <cellStyle name="Финансовый 3 4 2" xfId="842"/>
    <cellStyle name="Финансовый 3 5" xfId="839"/>
    <cellStyle name="Финансовый 3 6" xfId="752"/>
    <cellStyle name="Финансовый 4" xfId="199"/>
    <cellStyle name="Финансовый 5" xfId="200"/>
    <cellStyle name="Финансовый 6" xfId="179"/>
    <cellStyle name="Финансовый 7" xfId="750"/>
    <cellStyle name="Хороший 2" xfId="202"/>
    <cellStyle name="Хороший 3" xfId="203"/>
    <cellStyle name="Хороший 4" xfId="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4"/>
  <sheetViews>
    <sheetView tabSelected="1" view="pageBreakPreview" zoomScale="55" zoomScaleNormal="85" zoomScaleSheetLayoutView="55" zoomScalePageLayoutView="80" workbookViewId="0">
      <selection activeCell="D197" sqref="D197:D199"/>
    </sheetView>
  </sheetViews>
  <sheetFormatPr defaultRowHeight="15" x14ac:dyDescent="0.25"/>
  <cols>
    <col min="1" max="1" width="3.85546875" style="1" customWidth="1"/>
    <col min="2" max="2" width="21.85546875" style="1" customWidth="1"/>
    <col min="3" max="3" width="29" style="1" customWidth="1"/>
    <col min="4" max="4" width="14" style="1" customWidth="1"/>
    <col min="5" max="7" width="10.7109375" style="1" customWidth="1"/>
    <col min="8" max="8" width="21.5703125" style="1" customWidth="1"/>
    <col min="9" max="9" width="15.7109375" style="1" customWidth="1"/>
    <col min="10" max="10" width="13.140625" style="1" customWidth="1"/>
    <col min="11" max="11" width="14.140625" style="1" customWidth="1"/>
    <col min="12" max="13" width="12.7109375" style="1" customWidth="1"/>
    <col min="14" max="14" width="14" style="1" customWidth="1"/>
    <col min="15" max="18" width="12.7109375" style="1" customWidth="1"/>
    <col min="19" max="19" width="14" style="1" customWidth="1"/>
    <col min="20" max="21" width="12.7109375" style="1" customWidth="1"/>
    <col min="22" max="22" width="13.5703125" style="1" customWidth="1"/>
    <col min="23" max="27" width="15.28515625" style="1" customWidth="1"/>
    <col min="28" max="28" width="17.140625" style="1" customWidth="1"/>
    <col min="29" max="16384" width="9.140625" style="1"/>
  </cols>
  <sheetData>
    <row r="1" spans="1:28" ht="7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5"/>
      <c r="R1" s="5"/>
      <c r="S1" s="5"/>
      <c r="T1" s="5"/>
      <c r="U1" s="10" t="s">
        <v>171</v>
      </c>
      <c r="V1" s="10"/>
      <c r="W1" s="10"/>
      <c r="X1" s="10"/>
      <c r="Y1" s="10"/>
      <c r="Z1" s="10"/>
      <c r="AA1" s="10"/>
      <c r="AB1" s="10"/>
    </row>
    <row r="2" spans="1:28" ht="81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5"/>
      <c r="Q2" s="5"/>
      <c r="R2" s="5"/>
      <c r="S2" s="5"/>
      <c r="T2" s="5"/>
      <c r="U2" s="10"/>
      <c r="V2" s="10"/>
      <c r="W2" s="10"/>
      <c r="X2" s="10"/>
      <c r="Y2" s="10"/>
      <c r="Z2" s="10"/>
      <c r="AA2" s="10"/>
      <c r="AB2" s="10"/>
    </row>
    <row r="3" spans="1:28" ht="27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ht="15" customHeight="1" x14ac:dyDescent="0.25">
      <c r="A4" s="12" t="s">
        <v>84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51.7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ht="30" customHeight="1" x14ac:dyDescent="0.25">
      <c r="A8" s="24" t="s">
        <v>48</v>
      </c>
      <c r="B8" s="25" t="s">
        <v>59</v>
      </c>
      <c r="C8" s="25" t="s">
        <v>0</v>
      </c>
      <c r="D8" s="25" t="s">
        <v>116</v>
      </c>
      <c r="E8" s="25" t="s">
        <v>49</v>
      </c>
      <c r="F8" s="25" t="s">
        <v>50</v>
      </c>
      <c r="G8" s="25" t="s">
        <v>60</v>
      </c>
      <c r="H8" s="25" t="s">
        <v>1</v>
      </c>
      <c r="I8" s="25" t="s">
        <v>2</v>
      </c>
      <c r="J8" s="26" t="s">
        <v>105</v>
      </c>
      <c r="K8" s="27"/>
      <c r="L8" s="28"/>
      <c r="M8" s="29" t="s">
        <v>58</v>
      </c>
      <c r="N8" s="30"/>
      <c r="O8" s="30"/>
      <c r="P8" s="30"/>
      <c r="Q8" s="24"/>
      <c r="R8" s="29" t="s">
        <v>111</v>
      </c>
      <c r="S8" s="30"/>
      <c r="T8" s="30"/>
      <c r="U8" s="24"/>
      <c r="V8" s="29" t="s">
        <v>131</v>
      </c>
      <c r="W8" s="30"/>
      <c r="X8" s="30"/>
      <c r="Y8" s="30"/>
      <c r="Z8" s="30"/>
      <c r="AA8" s="24"/>
      <c r="AB8" s="29" t="s">
        <v>89</v>
      </c>
    </row>
    <row r="9" spans="1:28" ht="213" customHeight="1" x14ac:dyDescent="0.25">
      <c r="A9" s="24"/>
      <c r="B9" s="25"/>
      <c r="C9" s="25"/>
      <c r="D9" s="25"/>
      <c r="E9" s="25"/>
      <c r="F9" s="25"/>
      <c r="G9" s="25"/>
      <c r="H9" s="25"/>
      <c r="I9" s="25"/>
      <c r="J9" s="31" t="s">
        <v>57</v>
      </c>
      <c r="K9" s="31" t="s">
        <v>115</v>
      </c>
      <c r="L9" s="31" t="s">
        <v>106</v>
      </c>
      <c r="M9" s="31" t="s">
        <v>57</v>
      </c>
      <c r="N9" s="31" t="s">
        <v>88</v>
      </c>
      <c r="O9" s="31" t="s">
        <v>99</v>
      </c>
      <c r="P9" s="31" t="s">
        <v>87</v>
      </c>
      <c r="Q9" s="31" t="s">
        <v>107</v>
      </c>
      <c r="R9" s="31" t="s">
        <v>57</v>
      </c>
      <c r="S9" s="32" t="s">
        <v>109</v>
      </c>
      <c r="T9" s="32" t="s">
        <v>110</v>
      </c>
      <c r="U9" s="31" t="s">
        <v>107</v>
      </c>
      <c r="V9" s="31" t="s">
        <v>57</v>
      </c>
      <c r="W9" s="33" t="s">
        <v>128</v>
      </c>
      <c r="X9" s="32" t="s">
        <v>130</v>
      </c>
      <c r="Y9" s="32" t="s">
        <v>133</v>
      </c>
      <c r="Z9" s="31" t="s">
        <v>132</v>
      </c>
      <c r="AA9" s="31" t="s">
        <v>143</v>
      </c>
      <c r="AB9" s="29"/>
    </row>
    <row r="10" spans="1:28" x14ac:dyDescent="0.25">
      <c r="A10" s="34">
        <v>1</v>
      </c>
      <c r="B10" s="35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  <c r="H10" s="31">
        <v>8</v>
      </c>
      <c r="I10" s="31">
        <v>9</v>
      </c>
      <c r="J10" s="31">
        <v>10</v>
      </c>
      <c r="K10" s="31">
        <v>11</v>
      </c>
      <c r="L10" s="31">
        <v>12</v>
      </c>
      <c r="M10" s="31">
        <v>13</v>
      </c>
      <c r="N10" s="31">
        <v>14</v>
      </c>
      <c r="O10" s="31">
        <v>15</v>
      </c>
      <c r="P10" s="31">
        <v>16</v>
      </c>
      <c r="Q10" s="31">
        <v>17</v>
      </c>
      <c r="R10" s="31">
        <v>18</v>
      </c>
      <c r="S10" s="31">
        <v>19</v>
      </c>
      <c r="T10" s="31">
        <v>20</v>
      </c>
      <c r="U10" s="31">
        <v>21</v>
      </c>
      <c r="V10" s="31">
        <v>22</v>
      </c>
      <c r="W10" s="31">
        <v>23</v>
      </c>
      <c r="X10" s="31">
        <v>24</v>
      </c>
      <c r="Y10" s="31">
        <v>25</v>
      </c>
      <c r="Z10" s="31">
        <v>26</v>
      </c>
      <c r="AA10" s="31">
        <v>27</v>
      </c>
      <c r="AB10" s="31">
        <v>28</v>
      </c>
    </row>
    <row r="11" spans="1:28" ht="255" x14ac:dyDescent="0.25">
      <c r="A11" s="36" t="s">
        <v>3</v>
      </c>
      <c r="B11" s="2" t="s">
        <v>51</v>
      </c>
      <c r="C11" s="14"/>
      <c r="D11" s="25" t="s">
        <v>4</v>
      </c>
      <c r="E11" s="25" t="s">
        <v>4</v>
      </c>
      <c r="F11" s="25" t="s">
        <v>4</v>
      </c>
      <c r="G11" s="25" t="s">
        <v>4</v>
      </c>
      <c r="H11" s="7" t="s">
        <v>5</v>
      </c>
      <c r="I11" s="37">
        <f t="shared" ref="I11:M12" si="0">I12</f>
        <v>466212.67998999998</v>
      </c>
      <c r="J11" s="37">
        <f t="shared" si="0"/>
        <v>155609.98000000001</v>
      </c>
      <c r="K11" s="37">
        <f t="shared" si="0"/>
        <v>155609.98000000001</v>
      </c>
      <c r="L11" s="9">
        <f t="shared" si="0"/>
        <v>0</v>
      </c>
      <c r="M11" s="37">
        <f t="shared" si="0"/>
        <v>80640.70584000001</v>
      </c>
      <c r="N11" s="37">
        <f t="shared" ref="N11:AA12" si="1">N12</f>
        <v>80640.70584000001</v>
      </c>
      <c r="O11" s="9">
        <f>O12</f>
        <v>0</v>
      </c>
      <c r="P11" s="9">
        <f t="shared" si="1"/>
        <v>0</v>
      </c>
      <c r="Q11" s="9">
        <f t="shared" si="1"/>
        <v>0</v>
      </c>
      <c r="R11" s="37">
        <f t="shared" si="1"/>
        <v>79200.657429999992</v>
      </c>
      <c r="S11" s="37">
        <f t="shared" si="1"/>
        <v>76905.110939999999</v>
      </c>
      <c r="T11" s="37">
        <f t="shared" si="1"/>
        <v>2295.5464900000002</v>
      </c>
      <c r="U11" s="9">
        <f t="shared" si="1"/>
        <v>0</v>
      </c>
      <c r="V11" s="37">
        <f t="shared" si="1"/>
        <v>227757.21880999999</v>
      </c>
      <c r="W11" s="37">
        <f>W12</f>
        <v>153056.88321</v>
      </c>
      <c r="X11" s="37">
        <f t="shared" ref="X11:AA11" si="2">X12</f>
        <v>74700.335599999991</v>
      </c>
      <c r="Y11" s="9">
        <f t="shared" si="2"/>
        <v>0</v>
      </c>
      <c r="Z11" s="9">
        <f t="shared" si="2"/>
        <v>0</v>
      </c>
      <c r="AA11" s="9">
        <f t="shared" si="2"/>
        <v>0</v>
      </c>
      <c r="AB11" s="29" t="s">
        <v>4</v>
      </c>
    </row>
    <row r="12" spans="1:28" ht="60" x14ac:dyDescent="0.25">
      <c r="A12" s="38"/>
      <c r="B12" s="3"/>
      <c r="C12" s="14"/>
      <c r="D12" s="25"/>
      <c r="E12" s="25"/>
      <c r="F12" s="25"/>
      <c r="G12" s="25"/>
      <c r="H12" s="7" t="s">
        <v>6</v>
      </c>
      <c r="I12" s="37">
        <f t="shared" si="0"/>
        <v>466212.67998999998</v>
      </c>
      <c r="J12" s="37">
        <f t="shared" si="0"/>
        <v>155609.98000000001</v>
      </c>
      <c r="K12" s="37">
        <f t="shared" si="0"/>
        <v>155609.98000000001</v>
      </c>
      <c r="L12" s="9">
        <f t="shared" si="0"/>
        <v>0</v>
      </c>
      <c r="M12" s="37">
        <f t="shared" si="0"/>
        <v>80640.70584000001</v>
      </c>
      <c r="N12" s="37">
        <f t="shared" si="1"/>
        <v>80640.70584000001</v>
      </c>
      <c r="O12" s="9">
        <f>O13</f>
        <v>0</v>
      </c>
      <c r="P12" s="9">
        <f t="shared" si="1"/>
        <v>0</v>
      </c>
      <c r="Q12" s="9">
        <f t="shared" si="1"/>
        <v>0</v>
      </c>
      <c r="R12" s="37">
        <f t="shared" si="1"/>
        <v>79200.657429999992</v>
      </c>
      <c r="S12" s="37">
        <f t="shared" si="1"/>
        <v>76905.110939999999</v>
      </c>
      <c r="T12" s="37">
        <f t="shared" si="1"/>
        <v>2295.5464900000002</v>
      </c>
      <c r="U12" s="9">
        <f t="shared" si="1"/>
        <v>0</v>
      </c>
      <c r="V12" s="37">
        <f t="shared" si="1"/>
        <v>227757.21880999999</v>
      </c>
      <c r="W12" s="37">
        <f t="shared" si="1"/>
        <v>153056.88321</v>
      </c>
      <c r="X12" s="37">
        <f t="shared" si="1"/>
        <v>74700.335599999991</v>
      </c>
      <c r="Y12" s="9">
        <f t="shared" si="1"/>
        <v>0</v>
      </c>
      <c r="Z12" s="9">
        <f t="shared" si="1"/>
        <v>0</v>
      </c>
      <c r="AA12" s="9">
        <f t="shared" si="1"/>
        <v>0</v>
      </c>
      <c r="AB12" s="29"/>
    </row>
    <row r="13" spans="1:28" ht="45" x14ac:dyDescent="0.25">
      <c r="A13" s="38"/>
      <c r="B13" s="3"/>
      <c r="C13" s="14"/>
      <c r="D13" s="25"/>
      <c r="E13" s="25"/>
      <c r="F13" s="25"/>
      <c r="G13" s="25"/>
      <c r="H13" s="7" t="s">
        <v>8</v>
      </c>
      <c r="I13" s="37">
        <f>I16+I19+I22+I25+I28+I31</f>
        <v>466212.67998999998</v>
      </c>
      <c r="J13" s="37">
        <f>J16+J19+J22+J25+J28+J31</f>
        <v>155609.98000000001</v>
      </c>
      <c r="K13" s="37">
        <f>K16+K19+K22+K25+K28+K31</f>
        <v>155609.98000000001</v>
      </c>
      <c r="L13" s="9">
        <f>L16+L19+L22+L25+L28+L31</f>
        <v>0</v>
      </c>
      <c r="M13" s="37">
        <f t="shared" ref="M13" si="3">M16+M19+M22+M25+M28+M31</f>
        <v>80640.70584000001</v>
      </c>
      <c r="N13" s="37">
        <f>N16+N19+N22+N25+N28+N31</f>
        <v>80640.70584000001</v>
      </c>
      <c r="O13" s="9">
        <f>O16+O19+O22+O25+O28+O31</f>
        <v>0</v>
      </c>
      <c r="P13" s="9">
        <f>P16+P19+P22+P25+P28+P31</f>
        <v>0</v>
      </c>
      <c r="Q13" s="9">
        <f>Q16+Q19+Q22+Q25+Q28+Q31</f>
        <v>0</v>
      </c>
      <c r="R13" s="37">
        <f t="shared" ref="R13:AA13" si="4">R16+R19+R22+R25+R28+R31</f>
        <v>79200.657429999992</v>
      </c>
      <c r="S13" s="37">
        <f t="shared" si="4"/>
        <v>76905.110939999999</v>
      </c>
      <c r="T13" s="37">
        <f t="shared" si="4"/>
        <v>2295.5464900000002</v>
      </c>
      <c r="U13" s="9">
        <f t="shared" si="4"/>
        <v>0</v>
      </c>
      <c r="V13" s="37">
        <f t="shared" si="4"/>
        <v>227757.21880999999</v>
      </c>
      <c r="W13" s="37">
        <f t="shared" si="4"/>
        <v>153056.88321</v>
      </c>
      <c r="X13" s="37">
        <f t="shared" si="4"/>
        <v>74700.335599999991</v>
      </c>
      <c r="Y13" s="9">
        <f t="shared" ref="Y13" si="5">Y16+Y19+Y22+Y25+Y28+Y31</f>
        <v>0</v>
      </c>
      <c r="Z13" s="9">
        <f t="shared" si="4"/>
        <v>0</v>
      </c>
      <c r="AA13" s="9">
        <f t="shared" si="4"/>
        <v>0</v>
      </c>
      <c r="AB13" s="29"/>
    </row>
    <row r="14" spans="1:28" x14ac:dyDescent="0.25">
      <c r="A14" s="38"/>
      <c r="B14" s="3"/>
      <c r="C14" s="14" t="s">
        <v>61</v>
      </c>
      <c r="D14" s="25" t="s">
        <v>103</v>
      </c>
      <c r="E14" s="25">
        <v>2025</v>
      </c>
      <c r="F14" s="25" t="s">
        <v>13</v>
      </c>
      <c r="G14" s="39">
        <f>I16</f>
        <v>40736.999989999997</v>
      </c>
      <c r="H14" s="7" t="s">
        <v>5</v>
      </c>
      <c r="I14" s="9">
        <f t="shared" ref="I14:N15" si="6">I15</f>
        <v>40736.999989999997</v>
      </c>
      <c r="J14" s="9">
        <f t="shared" si="6"/>
        <v>20357</v>
      </c>
      <c r="K14" s="9">
        <f t="shared" si="6"/>
        <v>20357</v>
      </c>
      <c r="L14" s="9">
        <f t="shared" si="6"/>
        <v>0</v>
      </c>
      <c r="M14" s="37">
        <f t="shared" si="6"/>
        <v>473.64738</v>
      </c>
      <c r="N14" s="37">
        <f t="shared" si="6"/>
        <v>473.64738</v>
      </c>
      <c r="O14" s="9">
        <f>O15</f>
        <v>0</v>
      </c>
      <c r="P14" s="9">
        <f t="shared" ref="P14:AA15" si="7">P15</f>
        <v>0</v>
      </c>
      <c r="Q14" s="9">
        <f t="shared" si="7"/>
        <v>0</v>
      </c>
      <c r="R14" s="37">
        <f t="shared" si="7"/>
        <v>9716.3526199999997</v>
      </c>
      <c r="S14" s="37">
        <f t="shared" si="7"/>
        <v>9716.3526199999997</v>
      </c>
      <c r="T14" s="9">
        <f t="shared" si="7"/>
        <v>0</v>
      </c>
      <c r="U14" s="9">
        <v>0</v>
      </c>
      <c r="V14" s="37">
        <f t="shared" si="7"/>
        <v>19906.352610000002</v>
      </c>
      <c r="W14" s="9">
        <f t="shared" si="7"/>
        <v>10189.99999</v>
      </c>
      <c r="X14" s="37">
        <f t="shared" si="7"/>
        <v>9716.3526199999997</v>
      </c>
      <c r="Y14" s="9">
        <f t="shared" si="7"/>
        <v>0</v>
      </c>
      <c r="Z14" s="9">
        <f t="shared" si="7"/>
        <v>0</v>
      </c>
      <c r="AA14" s="9">
        <f t="shared" si="7"/>
        <v>0</v>
      </c>
      <c r="AB14" s="40" t="s">
        <v>7</v>
      </c>
    </row>
    <row r="15" spans="1:28" ht="60" x14ac:dyDescent="0.25">
      <c r="A15" s="38"/>
      <c r="B15" s="3"/>
      <c r="C15" s="14"/>
      <c r="D15" s="25"/>
      <c r="E15" s="25"/>
      <c r="F15" s="25"/>
      <c r="G15" s="39"/>
      <c r="H15" s="7" t="s">
        <v>6</v>
      </c>
      <c r="I15" s="9">
        <f t="shared" si="6"/>
        <v>40736.999989999997</v>
      </c>
      <c r="J15" s="9">
        <f t="shared" si="6"/>
        <v>20357</v>
      </c>
      <c r="K15" s="9">
        <f t="shared" si="6"/>
        <v>20357</v>
      </c>
      <c r="L15" s="9">
        <f t="shared" si="6"/>
        <v>0</v>
      </c>
      <c r="M15" s="37">
        <f t="shared" si="6"/>
        <v>473.64738</v>
      </c>
      <c r="N15" s="37">
        <f t="shared" si="6"/>
        <v>473.64738</v>
      </c>
      <c r="O15" s="9">
        <f>O16</f>
        <v>0</v>
      </c>
      <c r="P15" s="9">
        <f t="shared" si="7"/>
        <v>0</v>
      </c>
      <c r="Q15" s="9">
        <f t="shared" si="7"/>
        <v>0</v>
      </c>
      <c r="R15" s="37">
        <f t="shared" si="7"/>
        <v>9716.3526199999997</v>
      </c>
      <c r="S15" s="37">
        <f t="shared" si="7"/>
        <v>9716.3526199999997</v>
      </c>
      <c r="T15" s="9">
        <f t="shared" si="7"/>
        <v>0</v>
      </c>
      <c r="U15" s="9">
        <v>0</v>
      </c>
      <c r="V15" s="37">
        <f t="shared" si="7"/>
        <v>19906.352610000002</v>
      </c>
      <c r="W15" s="9">
        <f t="shared" si="7"/>
        <v>10189.99999</v>
      </c>
      <c r="X15" s="37">
        <f t="shared" si="7"/>
        <v>9716.3526199999997</v>
      </c>
      <c r="Y15" s="9">
        <f t="shared" si="7"/>
        <v>0</v>
      </c>
      <c r="Z15" s="9">
        <f t="shared" si="7"/>
        <v>0</v>
      </c>
      <c r="AA15" s="9">
        <f t="shared" si="7"/>
        <v>0</v>
      </c>
      <c r="AB15" s="40"/>
    </row>
    <row r="16" spans="1:28" ht="45" x14ac:dyDescent="0.25">
      <c r="A16" s="38"/>
      <c r="B16" s="3"/>
      <c r="C16" s="14"/>
      <c r="D16" s="25"/>
      <c r="E16" s="25"/>
      <c r="F16" s="25"/>
      <c r="G16" s="39"/>
      <c r="H16" s="7" t="s">
        <v>8</v>
      </c>
      <c r="I16" s="9">
        <v>40736.999989999997</v>
      </c>
      <c r="J16" s="9">
        <v>20357</v>
      </c>
      <c r="K16" s="9">
        <v>20357</v>
      </c>
      <c r="L16" s="9">
        <f>J16-K16</f>
        <v>0</v>
      </c>
      <c r="M16" s="37">
        <f>SUM(N16:Q16)</f>
        <v>473.64738</v>
      </c>
      <c r="N16" s="37">
        <v>473.64738</v>
      </c>
      <c r="O16" s="9">
        <v>0</v>
      </c>
      <c r="P16" s="9">
        <v>0</v>
      </c>
      <c r="Q16" s="9">
        <v>0</v>
      </c>
      <c r="R16" s="37">
        <f>SUM(S16:U16)</f>
        <v>9716.3526199999997</v>
      </c>
      <c r="S16" s="37">
        <v>9716.3526199999997</v>
      </c>
      <c r="T16" s="9">
        <v>0</v>
      </c>
      <c r="U16" s="9">
        <v>0</v>
      </c>
      <c r="V16" s="37">
        <f>SUM(W16:AA16)</f>
        <v>19906.352610000002</v>
      </c>
      <c r="W16" s="9">
        <f>10190-0.00001</f>
        <v>10189.99999</v>
      </c>
      <c r="X16" s="37">
        <v>9716.3526199999997</v>
      </c>
      <c r="Y16" s="9">
        <v>0</v>
      </c>
      <c r="Z16" s="41">
        <v>0</v>
      </c>
      <c r="AA16" s="41">
        <v>0</v>
      </c>
      <c r="AB16" s="40"/>
    </row>
    <row r="17" spans="1:28" x14ac:dyDescent="0.25">
      <c r="A17" s="38"/>
      <c r="B17" s="3"/>
      <c r="C17" s="14" t="s">
        <v>90</v>
      </c>
      <c r="D17" s="25" t="s">
        <v>103</v>
      </c>
      <c r="E17" s="25">
        <v>2025</v>
      </c>
      <c r="F17" s="25" t="s">
        <v>14</v>
      </c>
      <c r="G17" s="39">
        <f>I19</f>
        <v>48440</v>
      </c>
      <c r="H17" s="7" t="s">
        <v>5</v>
      </c>
      <c r="I17" s="9">
        <f t="shared" ref="I17:N18" si="8">I18</f>
        <v>48440</v>
      </c>
      <c r="J17" s="9">
        <f t="shared" si="8"/>
        <v>24220</v>
      </c>
      <c r="K17" s="9">
        <f t="shared" si="8"/>
        <v>24220</v>
      </c>
      <c r="L17" s="9">
        <f t="shared" si="8"/>
        <v>0</v>
      </c>
      <c r="M17" s="37">
        <f t="shared" si="8"/>
        <v>689.14768000000004</v>
      </c>
      <c r="N17" s="37">
        <f t="shared" si="8"/>
        <v>689.14768000000004</v>
      </c>
      <c r="O17" s="9">
        <f>O18</f>
        <v>0</v>
      </c>
      <c r="P17" s="9">
        <f t="shared" ref="P17:AA18" si="9">P18</f>
        <v>0</v>
      </c>
      <c r="Q17" s="9">
        <f t="shared" si="9"/>
        <v>0</v>
      </c>
      <c r="R17" s="37">
        <f t="shared" si="9"/>
        <v>11420.85232</v>
      </c>
      <c r="S17" s="37">
        <f t="shared" si="9"/>
        <v>11420.85232</v>
      </c>
      <c r="T17" s="9">
        <f t="shared" si="9"/>
        <v>0</v>
      </c>
      <c r="U17" s="9">
        <f t="shared" si="9"/>
        <v>0</v>
      </c>
      <c r="V17" s="37">
        <f t="shared" si="9"/>
        <v>23530.852319999998</v>
      </c>
      <c r="W17" s="9">
        <f t="shared" si="9"/>
        <v>12110</v>
      </c>
      <c r="X17" s="37">
        <f t="shared" si="9"/>
        <v>11420.85232</v>
      </c>
      <c r="Y17" s="9">
        <f t="shared" si="9"/>
        <v>0</v>
      </c>
      <c r="Z17" s="9">
        <f t="shared" si="9"/>
        <v>0</v>
      </c>
      <c r="AA17" s="9">
        <f t="shared" si="9"/>
        <v>0</v>
      </c>
      <c r="AB17" s="40" t="s">
        <v>7</v>
      </c>
    </row>
    <row r="18" spans="1:28" ht="60" x14ac:dyDescent="0.25">
      <c r="A18" s="38"/>
      <c r="B18" s="3"/>
      <c r="C18" s="14"/>
      <c r="D18" s="25"/>
      <c r="E18" s="25"/>
      <c r="F18" s="25"/>
      <c r="G18" s="39"/>
      <c r="H18" s="7" t="s">
        <v>6</v>
      </c>
      <c r="I18" s="9">
        <f t="shared" si="8"/>
        <v>48440</v>
      </c>
      <c r="J18" s="9">
        <f t="shared" si="8"/>
        <v>24220</v>
      </c>
      <c r="K18" s="9">
        <f t="shared" si="8"/>
        <v>24220</v>
      </c>
      <c r="L18" s="9">
        <f t="shared" si="8"/>
        <v>0</v>
      </c>
      <c r="M18" s="37">
        <f t="shared" si="8"/>
        <v>689.14768000000004</v>
      </c>
      <c r="N18" s="37">
        <f t="shared" si="8"/>
        <v>689.14768000000004</v>
      </c>
      <c r="O18" s="9">
        <f>O19</f>
        <v>0</v>
      </c>
      <c r="P18" s="9">
        <f t="shared" si="9"/>
        <v>0</v>
      </c>
      <c r="Q18" s="9">
        <f t="shared" si="9"/>
        <v>0</v>
      </c>
      <c r="R18" s="37">
        <f t="shared" si="9"/>
        <v>11420.85232</v>
      </c>
      <c r="S18" s="37">
        <f t="shared" si="9"/>
        <v>11420.85232</v>
      </c>
      <c r="T18" s="9">
        <f t="shared" si="9"/>
        <v>0</v>
      </c>
      <c r="U18" s="9">
        <f t="shared" si="9"/>
        <v>0</v>
      </c>
      <c r="V18" s="37">
        <f t="shared" si="9"/>
        <v>23530.852319999998</v>
      </c>
      <c r="W18" s="9">
        <f t="shared" si="9"/>
        <v>12110</v>
      </c>
      <c r="X18" s="37">
        <f t="shared" si="9"/>
        <v>11420.85232</v>
      </c>
      <c r="Y18" s="9">
        <f t="shared" si="9"/>
        <v>0</v>
      </c>
      <c r="Z18" s="9">
        <f t="shared" si="9"/>
        <v>0</v>
      </c>
      <c r="AA18" s="9">
        <f t="shared" si="9"/>
        <v>0</v>
      </c>
      <c r="AB18" s="40"/>
    </row>
    <row r="19" spans="1:28" ht="59.25" customHeight="1" x14ac:dyDescent="0.25">
      <c r="A19" s="38"/>
      <c r="B19" s="3"/>
      <c r="C19" s="14"/>
      <c r="D19" s="25"/>
      <c r="E19" s="25"/>
      <c r="F19" s="25"/>
      <c r="G19" s="39"/>
      <c r="H19" s="7" t="s">
        <v>8</v>
      </c>
      <c r="I19" s="9">
        <v>48440</v>
      </c>
      <c r="J19" s="9">
        <v>24220</v>
      </c>
      <c r="K19" s="9">
        <v>24220</v>
      </c>
      <c r="L19" s="9">
        <f>J19-K19</f>
        <v>0</v>
      </c>
      <c r="M19" s="37">
        <f>SUM(N19:Q19)</f>
        <v>689.14768000000004</v>
      </c>
      <c r="N19" s="37">
        <v>689.14768000000004</v>
      </c>
      <c r="O19" s="9">
        <v>0</v>
      </c>
      <c r="P19" s="9">
        <v>0</v>
      </c>
      <c r="Q19" s="9">
        <v>0</v>
      </c>
      <c r="R19" s="37">
        <f>SUM(S19:U19)</f>
        <v>11420.85232</v>
      </c>
      <c r="S19" s="37">
        <v>11420.85232</v>
      </c>
      <c r="T19" s="9">
        <v>0</v>
      </c>
      <c r="U19" s="9">
        <v>0</v>
      </c>
      <c r="V19" s="37">
        <f>SUM(W19:AA19)</f>
        <v>23530.852319999998</v>
      </c>
      <c r="W19" s="9">
        <v>12110</v>
      </c>
      <c r="X19" s="37">
        <v>11420.85232</v>
      </c>
      <c r="Y19" s="41">
        <v>0</v>
      </c>
      <c r="Z19" s="41">
        <v>0</v>
      </c>
      <c r="AA19" s="41">
        <v>0</v>
      </c>
      <c r="AB19" s="40"/>
    </row>
    <row r="20" spans="1:28" x14ac:dyDescent="0.25">
      <c r="A20" s="38"/>
      <c r="B20" s="3"/>
      <c r="C20" s="14" t="s">
        <v>62</v>
      </c>
      <c r="D20" s="25" t="s">
        <v>103</v>
      </c>
      <c r="E20" s="25">
        <v>2025</v>
      </c>
      <c r="F20" s="25" t="s">
        <v>14</v>
      </c>
      <c r="G20" s="39">
        <f>I22</f>
        <v>86540</v>
      </c>
      <c r="H20" s="7" t="s">
        <v>5</v>
      </c>
      <c r="I20" s="9">
        <f t="shared" ref="I20:L21" si="10">I21</f>
        <v>86540</v>
      </c>
      <c r="J20" s="9">
        <f t="shared" si="10"/>
        <v>43270</v>
      </c>
      <c r="K20" s="9">
        <f t="shared" si="10"/>
        <v>43270</v>
      </c>
      <c r="L20" s="9">
        <f t="shared" si="10"/>
        <v>0</v>
      </c>
      <c r="M20" s="42">
        <f t="shared" ref="M20:AA20" si="11">M21</f>
        <v>973.49940000000004</v>
      </c>
      <c r="N20" s="42">
        <f t="shared" si="11"/>
        <v>973.49940000000004</v>
      </c>
      <c r="O20" s="9">
        <f>O21</f>
        <v>0</v>
      </c>
      <c r="P20" s="9">
        <f t="shared" si="11"/>
        <v>0</v>
      </c>
      <c r="Q20" s="9">
        <f t="shared" si="11"/>
        <v>0</v>
      </c>
      <c r="R20" s="42">
        <f t="shared" si="11"/>
        <v>20661.500899999999</v>
      </c>
      <c r="S20" s="42">
        <f t="shared" si="11"/>
        <v>20661.500899999999</v>
      </c>
      <c r="T20" s="9">
        <f t="shared" si="11"/>
        <v>0</v>
      </c>
      <c r="U20" s="9">
        <f t="shared" si="11"/>
        <v>0</v>
      </c>
      <c r="V20" s="42">
        <f t="shared" si="11"/>
        <v>42296.500599999999</v>
      </c>
      <c r="W20" s="9">
        <f t="shared" si="11"/>
        <v>21634.9997</v>
      </c>
      <c r="X20" s="37">
        <f t="shared" si="11"/>
        <v>20661.500899999999</v>
      </c>
      <c r="Y20" s="9">
        <f t="shared" si="11"/>
        <v>0</v>
      </c>
      <c r="Z20" s="9">
        <f t="shared" si="11"/>
        <v>0</v>
      </c>
      <c r="AA20" s="9">
        <f t="shared" si="11"/>
        <v>0</v>
      </c>
      <c r="AB20" s="40" t="s">
        <v>7</v>
      </c>
    </row>
    <row r="21" spans="1:28" ht="60" x14ac:dyDescent="0.25">
      <c r="A21" s="38"/>
      <c r="B21" s="3"/>
      <c r="C21" s="14"/>
      <c r="D21" s="25"/>
      <c r="E21" s="25"/>
      <c r="F21" s="25"/>
      <c r="G21" s="39"/>
      <c r="H21" s="7" t="s">
        <v>6</v>
      </c>
      <c r="I21" s="9">
        <f t="shared" si="10"/>
        <v>86540</v>
      </c>
      <c r="J21" s="9">
        <f t="shared" si="10"/>
        <v>43270</v>
      </c>
      <c r="K21" s="9">
        <f t="shared" si="10"/>
        <v>43270</v>
      </c>
      <c r="L21" s="9">
        <f t="shared" si="10"/>
        <v>0</v>
      </c>
      <c r="M21" s="42">
        <f t="shared" ref="M21:AA21" si="12">M22</f>
        <v>973.49940000000004</v>
      </c>
      <c r="N21" s="42">
        <f t="shared" si="12"/>
        <v>973.49940000000004</v>
      </c>
      <c r="O21" s="9">
        <f>O22</f>
        <v>0</v>
      </c>
      <c r="P21" s="9">
        <f t="shared" si="12"/>
        <v>0</v>
      </c>
      <c r="Q21" s="9">
        <f t="shared" si="12"/>
        <v>0</v>
      </c>
      <c r="R21" s="42">
        <f t="shared" si="12"/>
        <v>20661.500899999999</v>
      </c>
      <c r="S21" s="42">
        <f t="shared" si="12"/>
        <v>20661.500899999999</v>
      </c>
      <c r="T21" s="9">
        <f t="shared" si="12"/>
        <v>0</v>
      </c>
      <c r="U21" s="9">
        <f t="shared" si="12"/>
        <v>0</v>
      </c>
      <c r="V21" s="42">
        <f t="shared" si="12"/>
        <v>42296.500599999999</v>
      </c>
      <c r="W21" s="9">
        <f t="shared" si="12"/>
        <v>21634.9997</v>
      </c>
      <c r="X21" s="37">
        <f t="shared" si="12"/>
        <v>20661.500899999999</v>
      </c>
      <c r="Y21" s="9">
        <f t="shared" si="12"/>
        <v>0</v>
      </c>
      <c r="Z21" s="9">
        <f t="shared" si="12"/>
        <v>0</v>
      </c>
      <c r="AA21" s="9">
        <f t="shared" si="12"/>
        <v>0</v>
      </c>
      <c r="AB21" s="40"/>
    </row>
    <row r="22" spans="1:28" ht="46.5" customHeight="1" x14ac:dyDescent="0.25">
      <c r="A22" s="33"/>
      <c r="B22" s="4"/>
      <c r="C22" s="14"/>
      <c r="D22" s="25"/>
      <c r="E22" s="25"/>
      <c r="F22" s="25"/>
      <c r="G22" s="39"/>
      <c r="H22" s="7" t="s">
        <v>8</v>
      </c>
      <c r="I22" s="9">
        <v>86540</v>
      </c>
      <c r="J22" s="9">
        <v>43270</v>
      </c>
      <c r="K22" s="9">
        <v>43270</v>
      </c>
      <c r="L22" s="9">
        <f>J22-K22</f>
        <v>0</v>
      </c>
      <c r="M22" s="42">
        <f>SUM(N22:Q22)</f>
        <v>973.49940000000004</v>
      </c>
      <c r="N22" s="42">
        <v>973.49940000000004</v>
      </c>
      <c r="O22" s="9">
        <v>0</v>
      </c>
      <c r="P22" s="9">
        <v>0</v>
      </c>
      <c r="Q22" s="9">
        <v>0</v>
      </c>
      <c r="R22" s="42">
        <f>SUM(S22:U22)</f>
        <v>20661.500899999999</v>
      </c>
      <c r="S22" s="42">
        <v>20661.500899999999</v>
      </c>
      <c r="T22" s="9">
        <v>0</v>
      </c>
      <c r="U22" s="9">
        <v>0</v>
      </c>
      <c r="V22" s="42">
        <f>SUM(W22:AA22)</f>
        <v>42296.500599999999</v>
      </c>
      <c r="W22" s="9">
        <v>21634.9997</v>
      </c>
      <c r="X22" s="37">
        <v>20661.500899999999</v>
      </c>
      <c r="Y22" s="41">
        <v>0</v>
      </c>
      <c r="Z22" s="41">
        <v>0</v>
      </c>
      <c r="AA22" s="41">
        <v>0</v>
      </c>
      <c r="AB22" s="40"/>
    </row>
    <row r="23" spans="1:28" x14ac:dyDescent="0.25">
      <c r="A23" s="38"/>
      <c r="B23" s="3"/>
      <c r="C23" s="14" t="s">
        <v>63</v>
      </c>
      <c r="D23" s="25" t="s">
        <v>103</v>
      </c>
      <c r="E23" s="25">
        <v>2025</v>
      </c>
      <c r="F23" s="25" t="s">
        <v>15</v>
      </c>
      <c r="G23" s="39">
        <f>I25</f>
        <v>84882</v>
      </c>
      <c r="H23" s="7" t="s">
        <v>5</v>
      </c>
      <c r="I23" s="9">
        <f t="shared" ref="I23:M24" si="13">I24</f>
        <v>84882</v>
      </c>
      <c r="J23" s="9">
        <f t="shared" si="13"/>
        <v>42441</v>
      </c>
      <c r="K23" s="9">
        <f t="shared" si="13"/>
        <v>42441</v>
      </c>
      <c r="L23" s="9">
        <f t="shared" si="13"/>
        <v>0</v>
      </c>
      <c r="M23" s="37">
        <f t="shared" si="13"/>
        <v>919.48352999999997</v>
      </c>
      <c r="N23" s="37">
        <f t="shared" ref="N23:AA23" si="14">N24</f>
        <v>919.48352999999997</v>
      </c>
      <c r="O23" s="9">
        <f>O24</f>
        <v>0</v>
      </c>
      <c r="P23" s="9">
        <f t="shared" si="14"/>
        <v>0</v>
      </c>
      <c r="Q23" s="9">
        <f t="shared" si="14"/>
        <v>0</v>
      </c>
      <c r="R23" s="37">
        <f t="shared" si="14"/>
        <v>20301.466469999999</v>
      </c>
      <c r="S23" s="37">
        <f t="shared" si="14"/>
        <v>20301.466469999999</v>
      </c>
      <c r="T23" s="9">
        <f t="shared" si="14"/>
        <v>0</v>
      </c>
      <c r="U23" s="9">
        <f t="shared" si="14"/>
        <v>0</v>
      </c>
      <c r="V23" s="37">
        <f t="shared" si="14"/>
        <v>41521.516470000002</v>
      </c>
      <c r="W23" s="37">
        <f t="shared" si="14"/>
        <v>21220.05</v>
      </c>
      <c r="X23" s="37">
        <f t="shared" si="14"/>
        <v>20301.466469999999</v>
      </c>
      <c r="Y23" s="9">
        <f t="shared" si="14"/>
        <v>0</v>
      </c>
      <c r="Z23" s="9">
        <f t="shared" si="14"/>
        <v>0</v>
      </c>
      <c r="AA23" s="9">
        <f t="shared" si="14"/>
        <v>0</v>
      </c>
      <c r="AB23" s="40" t="s">
        <v>7</v>
      </c>
    </row>
    <row r="24" spans="1:28" ht="60" x14ac:dyDescent="0.25">
      <c r="A24" s="38"/>
      <c r="B24" s="3"/>
      <c r="C24" s="14"/>
      <c r="D24" s="25"/>
      <c r="E24" s="25"/>
      <c r="F24" s="25"/>
      <c r="G24" s="39"/>
      <c r="H24" s="7" t="s">
        <v>6</v>
      </c>
      <c r="I24" s="9">
        <f t="shared" si="13"/>
        <v>84882</v>
      </c>
      <c r="J24" s="9">
        <f t="shared" si="13"/>
        <v>42441</v>
      </c>
      <c r="K24" s="9">
        <f t="shared" si="13"/>
        <v>42441</v>
      </c>
      <c r="L24" s="9">
        <f t="shared" si="13"/>
        <v>0</v>
      </c>
      <c r="M24" s="37">
        <f t="shared" si="13"/>
        <v>919.48352999999997</v>
      </c>
      <c r="N24" s="37">
        <f t="shared" ref="N24:AA24" si="15">N25</f>
        <v>919.48352999999997</v>
      </c>
      <c r="O24" s="9">
        <f>O25</f>
        <v>0</v>
      </c>
      <c r="P24" s="9">
        <f t="shared" si="15"/>
        <v>0</v>
      </c>
      <c r="Q24" s="9">
        <f t="shared" si="15"/>
        <v>0</v>
      </c>
      <c r="R24" s="37">
        <f t="shared" si="15"/>
        <v>20301.466469999999</v>
      </c>
      <c r="S24" s="37">
        <f t="shared" si="15"/>
        <v>20301.466469999999</v>
      </c>
      <c r="T24" s="9">
        <f t="shared" si="15"/>
        <v>0</v>
      </c>
      <c r="U24" s="9">
        <f t="shared" si="15"/>
        <v>0</v>
      </c>
      <c r="V24" s="37">
        <f t="shared" si="15"/>
        <v>41521.516470000002</v>
      </c>
      <c r="W24" s="37">
        <f t="shared" si="15"/>
        <v>21220.05</v>
      </c>
      <c r="X24" s="37">
        <f t="shared" si="15"/>
        <v>20301.466469999999</v>
      </c>
      <c r="Y24" s="9">
        <f t="shared" si="15"/>
        <v>0</v>
      </c>
      <c r="Z24" s="9">
        <f t="shared" si="15"/>
        <v>0</v>
      </c>
      <c r="AA24" s="9">
        <f t="shared" si="15"/>
        <v>0</v>
      </c>
      <c r="AB24" s="40"/>
    </row>
    <row r="25" spans="1:28" ht="45.75" customHeight="1" x14ac:dyDescent="0.25">
      <c r="A25" s="33"/>
      <c r="B25" s="4"/>
      <c r="C25" s="14"/>
      <c r="D25" s="25"/>
      <c r="E25" s="25"/>
      <c r="F25" s="25"/>
      <c r="G25" s="39"/>
      <c r="H25" s="7" t="s">
        <v>8</v>
      </c>
      <c r="I25" s="9">
        <v>84882</v>
      </c>
      <c r="J25" s="9">
        <v>42441</v>
      </c>
      <c r="K25" s="9">
        <v>42441</v>
      </c>
      <c r="L25" s="9">
        <f>J25-K25</f>
        <v>0</v>
      </c>
      <c r="M25" s="37">
        <f>SUM(N25:Q25)</f>
        <v>919.48352999999997</v>
      </c>
      <c r="N25" s="37">
        <v>919.48352999999997</v>
      </c>
      <c r="O25" s="9">
        <v>0</v>
      </c>
      <c r="P25" s="9">
        <v>0</v>
      </c>
      <c r="Q25" s="9">
        <v>0</v>
      </c>
      <c r="R25" s="42">
        <f>SUM(S25:U25)</f>
        <v>20301.466469999999</v>
      </c>
      <c r="S25" s="37">
        <v>20301.466469999999</v>
      </c>
      <c r="T25" s="9">
        <v>0</v>
      </c>
      <c r="U25" s="9">
        <v>0</v>
      </c>
      <c r="V25" s="37">
        <f>SUM(W25:AA25)</f>
        <v>41521.516470000002</v>
      </c>
      <c r="W25" s="37">
        <v>21220.05</v>
      </c>
      <c r="X25" s="37">
        <v>20301.466469999999</v>
      </c>
      <c r="Y25" s="41">
        <v>0</v>
      </c>
      <c r="Z25" s="41">
        <v>0</v>
      </c>
      <c r="AA25" s="41">
        <v>0</v>
      </c>
      <c r="AB25" s="40"/>
    </row>
    <row r="26" spans="1:28" x14ac:dyDescent="0.25">
      <c r="A26" s="38"/>
      <c r="B26" s="2"/>
      <c r="C26" s="43" t="s">
        <v>64</v>
      </c>
      <c r="D26" s="25" t="s">
        <v>103</v>
      </c>
      <c r="E26" s="25">
        <v>2025</v>
      </c>
      <c r="F26" s="25" t="s">
        <v>11</v>
      </c>
      <c r="G26" s="44">
        <f>I28</f>
        <v>51612.98</v>
      </c>
      <c r="H26" s="7" t="s">
        <v>5</v>
      </c>
      <c r="I26" s="37">
        <f t="shared" ref="I26:L27" si="16">I27</f>
        <v>51612.98</v>
      </c>
      <c r="J26" s="37">
        <f t="shared" si="16"/>
        <v>25321.98</v>
      </c>
      <c r="K26" s="37">
        <f t="shared" si="16"/>
        <v>25321.98</v>
      </c>
      <c r="L26" s="9">
        <f t="shared" si="16"/>
        <v>0</v>
      </c>
      <c r="M26" s="37">
        <f t="shared" ref="M26:AA27" si="17">M27</f>
        <v>584.57785000000001</v>
      </c>
      <c r="N26" s="37">
        <f t="shared" si="17"/>
        <v>584.57785000000001</v>
      </c>
      <c r="O26" s="9">
        <f>O27</f>
        <v>0</v>
      </c>
      <c r="P26" s="9">
        <f t="shared" si="17"/>
        <v>0</v>
      </c>
      <c r="Q26" s="9">
        <f t="shared" si="17"/>
        <v>0</v>
      </c>
      <c r="R26" s="37">
        <f t="shared" si="17"/>
        <v>11884.191070000001</v>
      </c>
      <c r="S26" s="37">
        <f t="shared" si="17"/>
        <v>11884.191070000001</v>
      </c>
      <c r="T26" s="9">
        <f t="shared" si="17"/>
        <v>0</v>
      </c>
      <c r="U26" s="9">
        <f t="shared" si="17"/>
        <v>0</v>
      </c>
      <c r="V26" s="37">
        <f t="shared" si="17"/>
        <v>25706.422149999999</v>
      </c>
      <c r="W26" s="37">
        <f t="shared" si="17"/>
        <v>13822.23108</v>
      </c>
      <c r="X26" s="37">
        <f t="shared" si="17"/>
        <v>11884.191070000001</v>
      </c>
      <c r="Y26" s="9">
        <f t="shared" si="17"/>
        <v>0</v>
      </c>
      <c r="Z26" s="9">
        <f t="shared" si="17"/>
        <v>0</v>
      </c>
      <c r="AA26" s="9">
        <f t="shared" si="17"/>
        <v>0</v>
      </c>
      <c r="AB26" s="40" t="s">
        <v>7</v>
      </c>
    </row>
    <row r="27" spans="1:28" ht="60" x14ac:dyDescent="0.25">
      <c r="A27" s="38"/>
      <c r="B27" s="3"/>
      <c r="C27" s="45"/>
      <c r="D27" s="25"/>
      <c r="E27" s="25"/>
      <c r="F27" s="25"/>
      <c r="G27" s="44"/>
      <c r="H27" s="7" t="s">
        <v>6</v>
      </c>
      <c r="I27" s="37">
        <f t="shared" si="16"/>
        <v>51612.98</v>
      </c>
      <c r="J27" s="37">
        <f t="shared" si="16"/>
        <v>25321.98</v>
      </c>
      <c r="K27" s="37">
        <f t="shared" si="16"/>
        <v>25321.98</v>
      </c>
      <c r="L27" s="9">
        <f t="shared" si="16"/>
        <v>0</v>
      </c>
      <c r="M27" s="37">
        <f t="shared" si="17"/>
        <v>584.57785000000001</v>
      </c>
      <c r="N27" s="37">
        <f t="shared" si="17"/>
        <v>584.57785000000001</v>
      </c>
      <c r="O27" s="9">
        <f>O28</f>
        <v>0</v>
      </c>
      <c r="P27" s="9">
        <f t="shared" si="17"/>
        <v>0</v>
      </c>
      <c r="Q27" s="9">
        <f t="shared" si="17"/>
        <v>0</v>
      </c>
      <c r="R27" s="37">
        <f t="shared" si="17"/>
        <v>11884.191070000001</v>
      </c>
      <c r="S27" s="37">
        <f t="shared" si="17"/>
        <v>11884.191070000001</v>
      </c>
      <c r="T27" s="9">
        <f t="shared" si="17"/>
        <v>0</v>
      </c>
      <c r="U27" s="9">
        <f t="shared" si="17"/>
        <v>0</v>
      </c>
      <c r="V27" s="37">
        <f t="shared" si="17"/>
        <v>25706.422149999999</v>
      </c>
      <c r="W27" s="37">
        <f t="shared" si="17"/>
        <v>13822.23108</v>
      </c>
      <c r="X27" s="37">
        <f t="shared" si="17"/>
        <v>11884.191070000001</v>
      </c>
      <c r="Y27" s="9">
        <f t="shared" si="17"/>
        <v>0</v>
      </c>
      <c r="Z27" s="9">
        <f t="shared" si="17"/>
        <v>0</v>
      </c>
      <c r="AA27" s="9">
        <f t="shared" si="17"/>
        <v>0</v>
      </c>
      <c r="AB27" s="40"/>
    </row>
    <row r="28" spans="1:28" ht="64.5" customHeight="1" x14ac:dyDescent="0.25">
      <c r="A28" s="38"/>
      <c r="B28" s="3"/>
      <c r="C28" s="46"/>
      <c r="D28" s="25"/>
      <c r="E28" s="25"/>
      <c r="F28" s="25"/>
      <c r="G28" s="44"/>
      <c r="H28" s="7" t="s">
        <v>8</v>
      </c>
      <c r="I28" s="37">
        <v>51612.98</v>
      </c>
      <c r="J28" s="37">
        <v>25321.98</v>
      </c>
      <c r="K28" s="37">
        <v>25321.98</v>
      </c>
      <c r="L28" s="9">
        <f>J28-K28</f>
        <v>0</v>
      </c>
      <c r="M28" s="37">
        <f>SUM(N28:Q28)</f>
        <v>584.57785000000001</v>
      </c>
      <c r="N28" s="37">
        <v>584.57785000000001</v>
      </c>
      <c r="O28" s="9">
        <v>0</v>
      </c>
      <c r="P28" s="9">
        <v>0</v>
      </c>
      <c r="Q28" s="9">
        <v>0</v>
      </c>
      <c r="R28" s="37">
        <f>SUM(S28:U28)</f>
        <v>11884.191070000001</v>
      </c>
      <c r="S28" s="37">
        <v>11884.191070000001</v>
      </c>
      <c r="T28" s="9">
        <v>0</v>
      </c>
      <c r="U28" s="9">
        <v>0</v>
      </c>
      <c r="V28" s="37">
        <f>SUM(W28:AA28)</f>
        <v>25706.422149999999</v>
      </c>
      <c r="W28" s="37">
        <v>13822.23108</v>
      </c>
      <c r="X28" s="37">
        <v>11884.191070000001</v>
      </c>
      <c r="Y28" s="41">
        <v>0</v>
      </c>
      <c r="Z28" s="41">
        <v>0</v>
      </c>
      <c r="AA28" s="41">
        <v>0</v>
      </c>
      <c r="AB28" s="40"/>
    </row>
    <row r="29" spans="1:28" x14ac:dyDescent="0.25">
      <c r="A29" s="38"/>
      <c r="B29" s="3"/>
      <c r="C29" s="14" t="s">
        <v>16</v>
      </c>
      <c r="D29" s="25" t="s">
        <v>104</v>
      </c>
      <c r="E29" s="25">
        <v>2025</v>
      </c>
      <c r="F29" s="25" t="s">
        <v>10</v>
      </c>
      <c r="G29" s="47">
        <f>I31</f>
        <v>154000.70000000001</v>
      </c>
      <c r="H29" s="7" t="s">
        <v>5</v>
      </c>
      <c r="I29" s="42">
        <f t="shared" ref="I29:M30" si="18">I30</f>
        <v>154000.70000000001</v>
      </c>
      <c r="J29" s="9">
        <f t="shared" si="18"/>
        <v>0</v>
      </c>
      <c r="K29" s="9">
        <f t="shared" si="18"/>
        <v>0</v>
      </c>
      <c r="L29" s="9">
        <f t="shared" si="18"/>
        <v>0</v>
      </c>
      <c r="M29" s="37">
        <f t="shared" si="18"/>
        <v>77000.350000000006</v>
      </c>
      <c r="N29" s="37">
        <f t="shared" ref="N29:Q30" si="19">N30</f>
        <v>77000.350000000006</v>
      </c>
      <c r="O29" s="9">
        <f>O30</f>
        <v>0</v>
      </c>
      <c r="P29" s="9">
        <f t="shared" si="19"/>
        <v>0</v>
      </c>
      <c r="Q29" s="9">
        <f t="shared" si="19"/>
        <v>0</v>
      </c>
      <c r="R29" s="37">
        <f>R30</f>
        <v>5216.2940500000004</v>
      </c>
      <c r="S29" s="37">
        <f t="shared" ref="S29:V30" si="20">S30</f>
        <v>2920.7475599999998</v>
      </c>
      <c r="T29" s="37">
        <f t="shared" si="20"/>
        <v>2295.5464900000002</v>
      </c>
      <c r="U29" s="9">
        <f t="shared" si="20"/>
        <v>0</v>
      </c>
      <c r="V29" s="37">
        <f t="shared" si="20"/>
        <v>74795.574659999998</v>
      </c>
      <c r="W29" s="37">
        <f>W30</f>
        <v>74079.602440000002</v>
      </c>
      <c r="X29" s="37">
        <f t="shared" ref="X29:AA30" si="21">X30</f>
        <v>715.97221999999999</v>
      </c>
      <c r="Y29" s="9">
        <f t="shared" si="21"/>
        <v>0</v>
      </c>
      <c r="Z29" s="9">
        <f t="shared" si="21"/>
        <v>0</v>
      </c>
      <c r="AA29" s="9">
        <f t="shared" si="21"/>
        <v>0</v>
      </c>
      <c r="AB29" s="40" t="s">
        <v>7</v>
      </c>
    </row>
    <row r="30" spans="1:28" ht="60" x14ac:dyDescent="0.25">
      <c r="A30" s="38"/>
      <c r="B30" s="3"/>
      <c r="C30" s="14"/>
      <c r="D30" s="25"/>
      <c r="E30" s="25"/>
      <c r="F30" s="25"/>
      <c r="G30" s="47"/>
      <c r="H30" s="7" t="s">
        <v>6</v>
      </c>
      <c r="I30" s="42">
        <f t="shared" si="18"/>
        <v>154000.70000000001</v>
      </c>
      <c r="J30" s="9">
        <f t="shared" si="18"/>
        <v>0</v>
      </c>
      <c r="K30" s="9">
        <f t="shared" si="18"/>
        <v>0</v>
      </c>
      <c r="L30" s="9">
        <f t="shared" si="18"/>
        <v>0</v>
      </c>
      <c r="M30" s="37">
        <f t="shared" si="18"/>
        <v>77000.350000000006</v>
      </c>
      <c r="N30" s="37">
        <f t="shared" si="19"/>
        <v>77000.350000000006</v>
      </c>
      <c r="O30" s="9">
        <f>O31</f>
        <v>0</v>
      </c>
      <c r="P30" s="9">
        <f t="shared" si="19"/>
        <v>0</v>
      </c>
      <c r="Q30" s="9">
        <f t="shared" si="19"/>
        <v>0</v>
      </c>
      <c r="R30" s="37">
        <f>R31</f>
        <v>5216.2940500000004</v>
      </c>
      <c r="S30" s="37">
        <f t="shared" si="20"/>
        <v>2920.7475599999998</v>
      </c>
      <c r="T30" s="37">
        <f t="shared" si="20"/>
        <v>2295.5464900000002</v>
      </c>
      <c r="U30" s="9">
        <f t="shared" si="20"/>
        <v>0</v>
      </c>
      <c r="V30" s="37">
        <f t="shared" si="20"/>
        <v>74795.574659999998</v>
      </c>
      <c r="W30" s="37">
        <f>W31</f>
        <v>74079.602440000002</v>
      </c>
      <c r="X30" s="37">
        <f t="shared" si="21"/>
        <v>715.97221999999999</v>
      </c>
      <c r="Y30" s="9">
        <f t="shared" si="21"/>
        <v>0</v>
      </c>
      <c r="Z30" s="9">
        <f t="shared" si="21"/>
        <v>0</v>
      </c>
      <c r="AA30" s="9">
        <f t="shared" si="21"/>
        <v>0</v>
      </c>
      <c r="AB30" s="40"/>
    </row>
    <row r="31" spans="1:28" ht="45" x14ac:dyDescent="0.25">
      <c r="A31" s="33"/>
      <c r="B31" s="3"/>
      <c r="C31" s="14"/>
      <c r="D31" s="25"/>
      <c r="E31" s="25"/>
      <c r="F31" s="25"/>
      <c r="G31" s="47"/>
      <c r="H31" s="7" t="s">
        <v>8</v>
      </c>
      <c r="I31" s="42">
        <v>154000.70000000001</v>
      </c>
      <c r="J31" s="9">
        <v>0</v>
      </c>
      <c r="K31" s="9">
        <v>0</v>
      </c>
      <c r="L31" s="9">
        <f>J31-K31</f>
        <v>0</v>
      </c>
      <c r="M31" s="37">
        <f>SUM(N31:Q31)</f>
        <v>77000.350000000006</v>
      </c>
      <c r="N31" s="37">
        <v>77000.350000000006</v>
      </c>
      <c r="O31" s="9">
        <v>0</v>
      </c>
      <c r="P31" s="9">
        <v>0</v>
      </c>
      <c r="Q31" s="9">
        <v>0</v>
      </c>
      <c r="R31" s="37">
        <f>SUM(S31:U31)</f>
        <v>5216.2940500000004</v>
      </c>
      <c r="S31" s="37">
        <f>2920.74756+715.97222-715.97222</f>
        <v>2920.7475599999998</v>
      </c>
      <c r="T31" s="37">
        <v>2295.5464900000002</v>
      </c>
      <c r="U31" s="9">
        <v>0</v>
      </c>
      <c r="V31" s="37">
        <f>SUM(W31:AA31)</f>
        <v>74795.574659999998</v>
      </c>
      <c r="W31" s="37">
        <f>74079.60244</f>
        <v>74079.602440000002</v>
      </c>
      <c r="X31" s="48">
        <v>715.97221999999999</v>
      </c>
      <c r="Y31" s="41">
        <v>0</v>
      </c>
      <c r="Z31" s="41">
        <v>0</v>
      </c>
      <c r="AA31" s="41">
        <v>0</v>
      </c>
      <c r="AB31" s="40"/>
    </row>
    <row r="32" spans="1:28" ht="195" x14ac:dyDescent="0.25">
      <c r="A32" s="36" t="s">
        <v>12</v>
      </c>
      <c r="B32" s="2" t="s">
        <v>19</v>
      </c>
      <c r="C32" s="14"/>
      <c r="D32" s="25" t="s">
        <v>4</v>
      </c>
      <c r="E32" s="25" t="s">
        <v>4</v>
      </c>
      <c r="F32" s="25" t="s">
        <v>4</v>
      </c>
      <c r="G32" s="25" t="s">
        <v>4</v>
      </c>
      <c r="H32" s="7" t="s">
        <v>5</v>
      </c>
      <c r="I32" s="37">
        <f t="shared" ref="I32:M33" si="22">I33</f>
        <v>454592.11980000004</v>
      </c>
      <c r="J32" s="37">
        <f t="shared" si="22"/>
        <v>154445.46000000002</v>
      </c>
      <c r="K32" s="37">
        <f t="shared" si="22"/>
        <v>151825.64285</v>
      </c>
      <c r="L32" s="37">
        <f t="shared" si="22"/>
        <v>2619.817149999998</v>
      </c>
      <c r="M32" s="37">
        <f t="shared" si="22"/>
        <v>148405.28193999999</v>
      </c>
      <c r="N32" s="37">
        <f t="shared" ref="N32:AA33" si="23">N33</f>
        <v>145785.46479</v>
      </c>
      <c r="O32" s="37">
        <f>O33</f>
        <v>1145.3903299999999</v>
      </c>
      <c r="P32" s="37">
        <f t="shared" si="23"/>
        <v>1474.4268200000001</v>
      </c>
      <c r="Q32" s="9">
        <f t="shared" si="23"/>
        <v>0</v>
      </c>
      <c r="R32" s="37">
        <f t="shared" si="23"/>
        <v>218026.98699</v>
      </c>
      <c r="S32" s="37">
        <f t="shared" si="23"/>
        <v>154361.19501</v>
      </c>
      <c r="T32" s="37">
        <f t="shared" si="23"/>
        <v>63665.791980000002</v>
      </c>
      <c r="U32" s="9">
        <f t="shared" si="23"/>
        <v>0</v>
      </c>
      <c r="V32" s="37">
        <f t="shared" si="23"/>
        <v>63665.791980000002</v>
      </c>
      <c r="W32" s="9">
        <f t="shared" si="23"/>
        <v>0</v>
      </c>
      <c r="X32" s="9">
        <f t="shared" si="23"/>
        <v>0</v>
      </c>
      <c r="Y32" s="37">
        <f t="shared" si="23"/>
        <v>63665.791980000002</v>
      </c>
      <c r="Z32" s="9">
        <f t="shared" si="23"/>
        <v>0</v>
      </c>
      <c r="AA32" s="9">
        <f t="shared" si="23"/>
        <v>0</v>
      </c>
      <c r="AB32" s="29" t="s">
        <v>4</v>
      </c>
    </row>
    <row r="33" spans="1:28" ht="60" x14ac:dyDescent="0.25">
      <c r="A33" s="38"/>
      <c r="B33" s="3"/>
      <c r="C33" s="14"/>
      <c r="D33" s="25"/>
      <c r="E33" s="25"/>
      <c r="F33" s="25"/>
      <c r="G33" s="25"/>
      <c r="H33" s="7" t="s">
        <v>6</v>
      </c>
      <c r="I33" s="37">
        <f t="shared" si="22"/>
        <v>454592.11980000004</v>
      </c>
      <c r="J33" s="37">
        <f t="shared" si="22"/>
        <v>154445.46000000002</v>
      </c>
      <c r="K33" s="37">
        <f t="shared" si="22"/>
        <v>151825.64285</v>
      </c>
      <c r="L33" s="37">
        <f t="shared" si="22"/>
        <v>2619.817149999998</v>
      </c>
      <c r="M33" s="37">
        <f t="shared" si="22"/>
        <v>148405.28193999999</v>
      </c>
      <c r="N33" s="37">
        <f t="shared" si="23"/>
        <v>145785.46479</v>
      </c>
      <c r="O33" s="37">
        <f>O34</f>
        <v>1145.3903299999999</v>
      </c>
      <c r="P33" s="37">
        <f t="shared" si="23"/>
        <v>1474.4268200000001</v>
      </c>
      <c r="Q33" s="9">
        <f t="shared" si="23"/>
        <v>0</v>
      </c>
      <c r="R33" s="37">
        <f t="shared" si="23"/>
        <v>218026.98699</v>
      </c>
      <c r="S33" s="37">
        <f t="shared" si="23"/>
        <v>154361.19501</v>
      </c>
      <c r="T33" s="37">
        <f t="shared" si="23"/>
        <v>63665.791980000002</v>
      </c>
      <c r="U33" s="9">
        <f t="shared" si="23"/>
        <v>0</v>
      </c>
      <c r="V33" s="37">
        <f t="shared" si="23"/>
        <v>63665.791980000002</v>
      </c>
      <c r="W33" s="9">
        <f t="shared" si="23"/>
        <v>0</v>
      </c>
      <c r="X33" s="9">
        <f t="shared" si="23"/>
        <v>0</v>
      </c>
      <c r="Y33" s="37">
        <f t="shared" si="23"/>
        <v>63665.791980000002</v>
      </c>
      <c r="Z33" s="9">
        <f t="shared" si="23"/>
        <v>0</v>
      </c>
      <c r="AA33" s="9">
        <f t="shared" si="23"/>
        <v>0</v>
      </c>
      <c r="AB33" s="29"/>
    </row>
    <row r="34" spans="1:28" ht="45" x14ac:dyDescent="0.25">
      <c r="A34" s="38"/>
      <c r="B34" s="3"/>
      <c r="C34" s="14"/>
      <c r="D34" s="25"/>
      <c r="E34" s="25"/>
      <c r="F34" s="25"/>
      <c r="G34" s="25"/>
      <c r="H34" s="7" t="s">
        <v>8</v>
      </c>
      <c r="I34" s="37">
        <f>I37+I40+I43+I46+I49+I52+I55+I58</f>
        <v>454592.11980000004</v>
      </c>
      <c r="J34" s="37">
        <f>J37+J40+J43+J46+J49+J52+J55+J58</f>
        <v>154445.46000000002</v>
      </c>
      <c r="K34" s="37">
        <f>K37+K40+K43+K46+K49+K52+K55+K58</f>
        <v>151825.64285</v>
      </c>
      <c r="L34" s="37">
        <f>L37+L40+L43+L46+L49+L52+L55+L58</f>
        <v>2619.817149999998</v>
      </c>
      <c r="M34" s="37">
        <f>SUM(N34:Q34)</f>
        <v>148405.28193999999</v>
      </c>
      <c r="N34" s="37">
        <f>N37+N43+N49+N52+N55+N58</f>
        <v>145785.46479</v>
      </c>
      <c r="O34" s="37">
        <f>O37+O40+O43+O46+O49+O52+O55+O58</f>
        <v>1145.3903299999999</v>
      </c>
      <c r="P34" s="37">
        <f>P37+P40+P43+P46+P49+P52+P55+P58</f>
        <v>1474.4268200000001</v>
      </c>
      <c r="Q34" s="9">
        <f>Q37+Q43+Q49+Q52+Q55+Q58</f>
        <v>0</v>
      </c>
      <c r="R34" s="37">
        <f>SUM(S34:U34)</f>
        <v>218026.98699</v>
      </c>
      <c r="S34" s="37">
        <f t="shared" ref="S34:Y34" si="24">S37+S43+S49+S52+S55+S58</f>
        <v>154361.19501</v>
      </c>
      <c r="T34" s="37">
        <f t="shared" si="24"/>
        <v>63665.791980000002</v>
      </c>
      <c r="U34" s="9">
        <f t="shared" si="24"/>
        <v>0</v>
      </c>
      <c r="V34" s="37">
        <f>SUM(W34:AA34)</f>
        <v>63665.791980000002</v>
      </c>
      <c r="W34" s="9">
        <f t="shared" si="24"/>
        <v>0</v>
      </c>
      <c r="X34" s="9">
        <f t="shared" si="24"/>
        <v>0</v>
      </c>
      <c r="Y34" s="37">
        <f t="shared" si="24"/>
        <v>63665.791980000002</v>
      </c>
      <c r="Z34" s="9">
        <f t="shared" ref="Z34:AA34" si="25">Z37+Z43+Z49+Z52+Z55+Z58</f>
        <v>0</v>
      </c>
      <c r="AA34" s="9">
        <f t="shared" si="25"/>
        <v>0</v>
      </c>
      <c r="AB34" s="29"/>
    </row>
    <row r="35" spans="1:28" x14ac:dyDescent="0.25">
      <c r="A35" s="38"/>
      <c r="B35" s="3"/>
      <c r="C35" s="14" t="s">
        <v>91</v>
      </c>
      <c r="D35" s="25">
        <v>2022</v>
      </c>
      <c r="E35" s="25">
        <v>2023</v>
      </c>
      <c r="F35" s="25" t="s">
        <v>169</v>
      </c>
      <c r="G35" s="44">
        <f>I37</f>
        <v>9746.5121099999997</v>
      </c>
      <c r="H35" s="7" t="s">
        <v>5</v>
      </c>
      <c r="I35" s="37">
        <f t="shared" ref="I35:L36" si="26">I36</f>
        <v>9746.5121099999997</v>
      </c>
      <c r="J35" s="37">
        <f t="shared" si="26"/>
        <v>9944.16</v>
      </c>
      <c r="K35" s="37">
        <f t="shared" si="26"/>
        <v>8792.0201699999998</v>
      </c>
      <c r="L35" s="37">
        <f t="shared" si="26"/>
        <v>1152.1398300000001</v>
      </c>
      <c r="M35" s="37">
        <f t="shared" ref="M35:Q36" si="27">M36</f>
        <v>954.49193999999989</v>
      </c>
      <c r="N35" s="37">
        <f t="shared" si="27"/>
        <v>-197.64788999999999</v>
      </c>
      <c r="O35" s="37">
        <f>O36</f>
        <v>1145.3903299999999</v>
      </c>
      <c r="P35" s="37">
        <f t="shared" si="27"/>
        <v>6.7494999999999834</v>
      </c>
      <c r="Q35" s="9">
        <f t="shared" si="27"/>
        <v>0</v>
      </c>
      <c r="R35" s="9">
        <f t="shared" ref="R35:AA36" si="28">R36</f>
        <v>0</v>
      </c>
      <c r="S35" s="9">
        <f t="shared" si="28"/>
        <v>0</v>
      </c>
      <c r="T35" s="9">
        <f t="shared" si="28"/>
        <v>0</v>
      </c>
      <c r="U35" s="9">
        <f t="shared" si="28"/>
        <v>0</v>
      </c>
      <c r="V35" s="9">
        <f t="shared" si="28"/>
        <v>0</v>
      </c>
      <c r="W35" s="9">
        <f t="shared" si="28"/>
        <v>0</v>
      </c>
      <c r="X35" s="9">
        <f t="shared" si="28"/>
        <v>0</v>
      </c>
      <c r="Y35" s="9">
        <f t="shared" si="28"/>
        <v>0</v>
      </c>
      <c r="Z35" s="9">
        <f t="shared" si="28"/>
        <v>0</v>
      </c>
      <c r="AA35" s="9">
        <f t="shared" si="28"/>
        <v>0</v>
      </c>
      <c r="AB35" s="40" t="s">
        <v>7</v>
      </c>
    </row>
    <row r="36" spans="1:28" ht="60" x14ac:dyDescent="0.25">
      <c r="A36" s="38"/>
      <c r="B36" s="3"/>
      <c r="C36" s="14"/>
      <c r="D36" s="25"/>
      <c r="E36" s="25"/>
      <c r="F36" s="25"/>
      <c r="G36" s="44"/>
      <c r="H36" s="7" t="s">
        <v>6</v>
      </c>
      <c r="I36" s="37">
        <f t="shared" si="26"/>
        <v>9746.5121099999997</v>
      </c>
      <c r="J36" s="37">
        <f t="shared" si="26"/>
        <v>9944.16</v>
      </c>
      <c r="K36" s="37">
        <f t="shared" si="26"/>
        <v>8792.0201699999998</v>
      </c>
      <c r="L36" s="37">
        <f t="shared" si="26"/>
        <v>1152.1398300000001</v>
      </c>
      <c r="M36" s="37">
        <f>M37</f>
        <v>954.49193999999989</v>
      </c>
      <c r="N36" s="37">
        <f t="shared" si="27"/>
        <v>-197.64788999999999</v>
      </c>
      <c r="O36" s="37">
        <f>O37</f>
        <v>1145.3903299999999</v>
      </c>
      <c r="P36" s="37">
        <f t="shared" si="27"/>
        <v>6.7494999999999834</v>
      </c>
      <c r="Q36" s="9">
        <f t="shared" si="27"/>
        <v>0</v>
      </c>
      <c r="R36" s="9">
        <f t="shared" si="28"/>
        <v>0</v>
      </c>
      <c r="S36" s="9">
        <f t="shared" si="28"/>
        <v>0</v>
      </c>
      <c r="T36" s="9">
        <f t="shared" si="28"/>
        <v>0</v>
      </c>
      <c r="U36" s="9">
        <f t="shared" si="28"/>
        <v>0</v>
      </c>
      <c r="V36" s="9">
        <f t="shared" si="28"/>
        <v>0</v>
      </c>
      <c r="W36" s="9">
        <f t="shared" si="28"/>
        <v>0</v>
      </c>
      <c r="X36" s="9">
        <f t="shared" si="28"/>
        <v>0</v>
      </c>
      <c r="Y36" s="9">
        <f t="shared" si="28"/>
        <v>0</v>
      </c>
      <c r="Z36" s="9">
        <f t="shared" si="28"/>
        <v>0</v>
      </c>
      <c r="AA36" s="9">
        <f t="shared" si="28"/>
        <v>0</v>
      </c>
      <c r="AB36" s="40"/>
    </row>
    <row r="37" spans="1:28" ht="45" x14ac:dyDescent="0.25">
      <c r="A37" s="38"/>
      <c r="B37" s="3"/>
      <c r="C37" s="14"/>
      <c r="D37" s="25"/>
      <c r="E37" s="25"/>
      <c r="F37" s="25"/>
      <c r="G37" s="44"/>
      <c r="H37" s="7" t="s">
        <v>8</v>
      </c>
      <c r="I37" s="37">
        <v>9746.5121099999997</v>
      </c>
      <c r="J37" s="37">
        <v>9944.16</v>
      </c>
      <c r="K37" s="37">
        <f>4772.45968+3817.96774+201.59275</f>
        <v>8792.0201699999998</v>
      </c>
      <c r="L37" s="37">
        <f>J37-K37</f>
        <v>1152.1398300000001</v>
      </c>
      <c r="M37" s="37">
        <f>1145.39033-190.89839</f>
        <v>954.49193999999989</v>
      </c>
      <c r="N37" s="37">
        <v>-197.64788999999999</v>
      </c>
      <c r="O37" s="37">
        <v>1145.3903299999999</v>
      </c>
      <c r="P37" s="37">
        <f>197.64789-190.89839</f>
        <v>6.7494999999999834</v>
      </c>
      <c r="Q37" s="9">
        <v>0</v>
      </c>
      <c r="R37" s="9">
        <f>SUM(S37:U37)</f>
        <v>0</v>
      </c>
      <c r="S37" s="9">
        <v>0</v>
      </c>
      <c r="T37" s="9">
        <v>0</v>
      </c>
      <c r="U37" s="9">
        <v>0</v>
      </c>
      <c r="V37" s="9">
        <f>SUM(W37:AA37)</f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40"/>
    </row>
    <row r="38" spans="1:28" x14ac:dyDescent="0.25">
      <c r="A38" s="38"/>
      <c r="B38" s="3"/>
      <c r="C38" s="14" t="s">
        <v>92</v>
      </c>
      <c r="D38" s="25">
        <v>2022</v>
      </c>
      <c r="E38" s="25">
        <v>2022</v>
      </c>
      <c r="F38" s="25" t="s">
        <v>168</v>
      </c>
      <c r="G38" s="47">
        <f>I40</f>
        <v>26902.5</v>
      </c>
      <c r="H38" s="7" t="s">
        <v>5</v>
      </c>
      <c r="I38" s="42">
        <f t="shared" ref="I38:N39" si="29">I39</f>
        <v>26902.5</v>
      </c>
      <c r="J38" s="42">
        <f t="shared" si="29"/>
        <v>26902.5</v>
      </c>
      <c r="K38" s="42">
        <f t="shared" si="29"/>
        <v>26902.5</v>
      </c>
      <c r="L38" s="9">
        <f t="shared" si="29"/>
        <v>0</v>
      </c>
      <c r="M38" s="9">
        <f t="shared" si="29"/>
        <v>0</v>
      </c>
      <c r="N38" s="9">
        <f t="shared" si="29"/>
        <v>0</v>
      </c>
      <c r="O38" s="9">
        <f>O39</f>
        <v>0</v>
      </c>
      <c r="P38" s="9">
        <f t="shared" ref="P38:AA39" si="30">P39</f>
        <v>0</v>
      </c>
      <c r="Q38" s="9">
        <f t="shared" si="30"/>
        <v>0</v>
      </c>
      <c r="R38" s="9">
        <f t="shared" si="30"/>
        <v>0</v>
      </c>
      <c r="S38" s="9">
        <f t="shared" si="30"/>
        <v>0</v>
      </c>
      <c r="T38" s="9">
        <f t="shared" si="30"/>
        <v>0</v>
      </c>
      <c r="U38" s="9">
        <f t="shared" si="30"/>
        <v>0</v>
      </c>
      <c r="V38" s="9">
        <f t="shared" si="30"/>
        <v>0</v>
      </c>
      <c r="W38" s="9">
        <f t="shared" si="30"/>
        <v>0</v>
      </c>
      <c r="X38" s="9">
        <f t="shared" si="30"/>
        <v>0</v>
      </c>
      <c r="Y38" s="9">
        <f t="shared" si="30"/>
        <v>0</v>
      </c>
      <c r="Z38" s="9">
        <f t="shared" si="30"/>
        <v>0</v>
      </c>
      <c r="AA38" s="9">
        <f t="shared" si="30"/>
        <v>0</v>
      </c>
      <c r="AB38" s="40" t="s">
        <v>7</v>
      </c>
    </row>
    <row r="39" spans="1:28" ht="60" x14ac:dyDescent="0.25">
      <c r="A39" s="38"/>
      <c r="B39" s="3"/>
      <c r="C39" s="14"/>
      <c r="D39" s="25"/>
      <c r="E39" s="25"/>
      <c r="F39" s="25"/>
      <c r="G39" s="47"/>
      <c r="H39" s="7" t="s">
        <v>6</v>
      </c>
      <c r="I39" s="42">
        <f t="shared" si="29"/>
        <v>26902.5</v>
      </c>
      <c r="J39" s="42">
        <f t="shared" si="29"/>
        <v>26902.5</v>
      </c>
      <c r="K39" s="42">
        <f t="shared" si="29"/>
        <v>26902.5</v>
      </c>
      <c r="L39" s="9">
        <f t="shared" si="29"/>
        <v>0</v>
      </c>
      <c r="M39" s="9">
        <f t="shared" si="29"/>
        <v>0</v>
      </c>
      <c r="N39" s="9">
        <f t="shared" si="29"/>
        <v>0</v>
      </c>
      <c r="O39" s="9">
        <f>O40</f>
        <v>0</v>
      </c>
      <c r="P39" s="9">
        <f t="shared" si="30"/>
        <v>0</v>
      </c>
      <c r="Q39" s="9">
        <f t="shared" si="30"/>
        <v>0</v>
      </c>
      <c r="R39" s="9">
        <f t="shared" si="30"/>
        <v>0</v>
      </c>
      <c r="S39" s="9">
        <f t="shared" si="30"/>
        <v>0</v>
      </c>
      <c r="T39" s="9">
        <f t="shared" si="30"/>
        <v>0</v>
      </c>
      <c r="U39" s="9">
        <f t="shared" si="30"/>
        <v>0</v>
      </c>
      <c r="V39" s="9">
        <f t="shared" si="30"/>
        <v>0</v>
      </c>
      <c r="W39" s="9">
        <f t="shared" si="30"/>
        <v>0</v>
      </c>
      <c r="X39" s="9">
        <f t="shared" si="30"/>
        <v>0</v>
      </c>
      <c r="Y39" s="9">
        <f t="shared" si="30"/>
        <v>0</v>
      </c>
      <c r="Z39" s="9">
        <f t="shared" si="30"/>
        <v>0</v>
      </c>
      <c r="AA39" s="9">
        <f t="shared" si="30"/>
        <v>0</v>
      </c>
      <c r="AB39" s="40"/>
    </row>
    <row r="40" spans="1:28" ht="45" x14ac:dyDescent="0.25">
      <c r="A40" s="33"/>
      <c r="B40" s="4"/>
      <c r="C40" s="14"/>
      <c r="D40" s="25"/>
      <c r="E40" s="25"/>
      <c r="F40" s="25"/>
      <c r="G40" s="47"/>
      <c r="H40" s="7" t="s">
        <v>8</v>
      </c>
      <c r="I40" s="42">
        <v>26902.5</v>
      </c>
      <c r="J40" s="42">
        <v>26902.5</v>
      </c>
      <c r="K40" s="42">
        <v>26902.5</v>
      </c>
      <c r="L40" s="9">
        <f>J40-K40</f>
        <v>0</v>
      </c>
      <c r="M40" s="9">
        <f>SUM(N40:Q40)</f>
        <v>0</v>
      </c>
      <c r="N40" s="9">
        <v>0</v>
      </c>
      <c r="O40" s="9">
        <v>0</v>
      </c>
      <c r="P40" s="9">
        <v>0</v>
      </c>
      <c r="Q40" s="9">
        <v>0</v>
      </c>
      <c r="R40" s="9">
        <f>SUM(S40:U40)</f>
        <v>0</v>
      </c>
      <c r="S40" s="9">
        <v>0</v>
      </c>
      <c r="T40" s="9">
        <v>0</v>
      </c>
      <c r="U40" s="9">
        <v>0</v>
      </c>
      <c r="V40" s="9">
        <f>SUM(W40:AA40)</f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40"/>
    </row>
    <row r="41" spans="1:28" x14ac:dyDescent="0.25">
      <c r="A41" s="38"/>
      <c r="B41" s="2"/>
      <c r="C41" s="14" t="s">
        <v>20</v>
      </c>
      <c r="D41" s="25">
        <v>2022</v>
      </c>
      <c r="E41" s="25">
        <v>2022</v>
      </c>
      <c r="F41" s="25" t="s">
        <v>129</v>
      </c>
      <c r="G41" s="44">
        <f>I43</f>
        <v>6604.4232899999997</v>
      </c>
      <c r="H41" s="7" t="s">
        <v>5</v>
      </c>
      <c r="I41" s="37">
        <f t="shared" ref="I41:L42" si="31">I42</f>
        <v>6604.4232899999997</v>
      </c>
      <c r="J41" s="37">
        <f t="shared" si="31"/>
        <v>6798.43</v>
      </c>
      <c r="K41" s="37">
        <f t="shared" si="31"/>
        <v>6604.4232899999997</v>
      </c>
      <c r="L41" s="37">
        <f t="shared" si="31"/>
        <v>194.00671000000057</v>
      </c>
      <c r="M41" s="9">
        <f t="shared" ref="M41:Q42" si="32">M42</f>
        <v>0</v>
      </c>
      <c r="N41" s="37">
        <f t="shared" si="32"/>
        <v>-194.00671</v>
      </c>
      <c r="O41" s="9">
        <f>O42</f>
        <v>0</v>
      </c>
      <c r="P41" s="37">
        <f t="shared" si="32"/>
        <v>194.00671</v>
      </c>
      <c r="Q41" s="9">
        <f t="shared" si="32"/>
        <v>0</v>
      </c>
      <c r="R41" s="9">
        <f t="shared" ref="R41:AA42" si="33">R42</f>
        <v>0</v>
      </c>
      <c r="S41" s="9">
        <f t="shared" si="33"/>
        <v>0</v>
      </c>
      <c r="T41" s="9">
        <f t="shared" si="33"/>
        <v>0</v>
      </c>
      <c r="U41" s="9">
        <f t="shared" si="33"/>
        <v>0</v>
      </c>
      <c r="V41" s="9">
        <f t="shared" si="33"/>
        <v>0</v>
      </c>
      <c r="W41" s="9">
        <f t="shared" si="33"/>
        <v>0</v>
      </c>
      <c r="X41" s="9">
        <f t="shared" si="33"/>
        <v>0</v>
      </c>
      <c r="Y41" s="9">
        <f t="shared" si="33"/>
        <v>0</v>
      </c>
      <c r="Z41" s="9">
        <f t="shared" si="33"/>
        <v>0</v>
      </c>
      <c r="AA41" s="9">
        <f t="shared" si="33"/>
        <v>0</v>
      </c>
      <c r="AB41" s="40" t="s">
        <v>7</v>
      </c>
    </row>
    <row r="42" spans="1:28" ht="60" x14ac:dyDescent="0.25">
      <c r="A42" s="38"/>
      <c r="B42" s="3"/>
      <c r="C42" s="14"/>
      <c r="D42" s="25"/>
      <c r="E42" s="25"/>
      <c r="F42" s="25"/>
      <c r="G42" s="44"/>
      <c r="H42" s="7" t="s">
        <v>6</v>
      </c>
      <c r="I42" s="37">
        <f t="shared" si="31"/>
        <v>6604.4232899999997</v>
      </c>
      <c r="J42" s="37">
        <f t="shared" si="31"/>
        <v>6798.43</v>
      </c>
      <c r="K42" s="37">
        <f t="shared" si="31"/>
        <v>6604.4232899999997</v>
      </c>
      <c r="L42" s="37">
        <f t="shared" si="31"/>
        <v>194.00671000000057</v>
      </c>
      <c r="M42" s="9">
        <f t="shared" si="32"/>
        <v>0</v>
      </c>
      <c r="N42" s="37">
        <f t="shared" si="32"/>
        <v>-194.00671</v>
      </c>
      <c r="O42" s="9">
        <f>O43</f>
        <v>0</v>
      </c>
      <c r="P42" s="37">
        <f t="shared" si="32"/>
        <v>194.00671</v>
      </c>
      <c r="Q42" s="9">
        <f t="shared" si="32"/>
        <v>0</v>
      </c>
      <c r="R42" s="9">
        <f t="shared" si="33"/>
        <v>0</v>
      </c>
      <c r="S42" s="9">
        <f t="shared" si="33"/>
        <v>0</v>
      </c>
      <c r="T42" s="9">
        <f t="shared" si="33"/>
        <v>0</v>
      </c>
      <c r="U42" s="9">
        <f t="shared" si="33"/>
        <v>0</v>
      </c>
      <c r="V42" s="9">
        <f t="shared" si="33"/>
        <v>0</v>
      </c>
      <c r="W42" s="9">
        <f t="shared" si="33"/>
        <v>0</v>
      </c>
      <c r="X42" s="9">
        <f t="shared" si="33"/>
        <v>0</v>
      </c>
      <c r="Y42" s="9">
        <f t="shared" si="33"/>
        <v>0</v>
      </c>
      <c r="Z42" s="9">
        <f t="shared" si="33"/>
        <v>0</v>
      </c>
      <c r="AA42" s="9">
        <f t="shared" si="33"/>
        <v>0</v>
      </c>
      <c r="AB42" s="40"/>
    </row>
    <row r="43" spans="1:28" ht="45" x14ac:dyDescent="0.25">
      <c r="A43" s="38"/>
      <c r="B43" s="3"/>
      <c r="C43" s="14"/>
      <c r="D43" s="25"/>
      <c r="E43" s="25"/>
      <c r="F43" s="25"/>
      <c r="G43" s="44"/>
      <c r="H43" s="7" t="s">
        <v>8</v>
      </c>
      <c r="I43" s="37">
        <v>6604.4232899999997</v>
      </c>
      <c r="J43" s="37">
        <v>6798.43</v>
      </c>
      <c r="K43" s="37">
        <v>6604.4232899999997</v>
      </c>
      <c r="L43" s="37">
        <f>J43-K43</f>
        <v>194.00671000000057</v>
      </c>
      <c r="M43" s="9">
        <f>SUM(N43:Q43)</f>
        <v>0</v>
      </c>
      <c r="N43" s="37">
        <v>-194.00671</v>
      </c>
      <c r="O43" s="9">
        <v>0</v>
      </c>
      <c r="P43" s="37">
        <v>194.00671</v>
      </c>
      <c r="Q43" s="9">
        <v>0</v>
      </c>
      <c r="R43" s="9">
        <f>SUM(S43:U43)</f>
        <v>0</v>
      </c>
      <c r="S43" s="9">
        <v>0</v>
      </c>
      <c r="T43" s="9">
        <v>0</v>
      </c>
      <c r="U43" s="9">
        <v>0</v>
      </c>
      <c r="V43" s="9">
        <f>SUM(W43:AA43)</f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40"/>
    </row>
    <row r="44" spans="1:28" x14ac:dyDescent="0.25">
      <c r="A44" s="38"/>
      <c r="B44" s="3"/>
      <c r="C44" s="14" t="s">
        <v>21</v>
      </c>
      <c r="D44" s="25">
        <v>2022</v>
      </c>
      <c r="E44" s="25">
        <v>2022</v>
      </c>
      <c r="F44" s="25" t="s">
        <v>22</v>
      </c>
      <c r="G44" s="44">
        <f>I46</f>
        <v>22764.34</v>
      </c>
      <c r="H44" s="7" t="s">
        <v>5</v>
      </c>
      <c r="I44" s="37">
        <f t="shared" ref="I44:N45" si="34">I45</f>
        <v>22764.34</v>
      </c>
      <c r="J44" s="37">
        <f t="shared" si="34"/>
        <v>22764.34</v>
      </c>
      <c r="K44" s="37">
        <f t="shared" si="34"/>
        <v>22764.34</v>
      </c>
      <c r="L44" s="9">
        <f t="shared" si="34"/>
        <v>0</v>
      </c>
      <c r="M44" s="9">
        <f t="shared" si="34"/>
        <v>0</v>
      </c>
      <c r="N44" s="9">
        <f t="shared" si="34"/>
        <v>0</v>
      </c>
      <c r="O44" s="9">
        <f>O45</f>
        <v>0</v>
      </c>
      <c r="P44" s="9">
        <f t="shared" ref="P44:AA45" si="35">P45</f>
        <v>0</v>
      </c>
      <c r="Q44" s="9">
        <f t="shared" si="35"/>
        <v>0</v>
      </c>
      <c r="R44" s="9">
        <f t="shared" si="35"/>
        <v>0</v>
      </c>
      <c r="S44" s="9">
        <f t="shared" si="35"/>
        <v>0</v>
      </c>
      <c r="T44" s="9">
        <f t="shared" si="35"/>
        <v>0</v>
      </c>
      <c r="U44" s="9">
        <f t="shared" si="35"/>
        <v>0</v>
      </c>
      <c r="V44" s="9">
        <f t="shared" si="35"/>
        <v>0</v>
      </c>
      <c r="W44" s="9">
        <f t="shared" si="35"/>
        <v>0</v>
      </c>
      <c r="X44" s="9">
        <f t="shared" si="35"/>
        <v>0</v>
      </c>
      <c r="Y44" s="9">
        <f t="shared" si="35"/>
        <v>0</v>
      </c>
      <c r="Z44" s="9">
        <f t="shared" si="35"/>
        <v>0</v>
      </c>
      <c r="AA44" s="9">
        <f t="shared" si="35"/>
        <v>0</v>
      </c>
      <c r="AB44" s="40" t="s">
        <v>7</v>
      </c>
    </row>
    <row r="45" spans="1:28" ht="60" x14ac:dyDescent="0.25">
      <c r="A45" s="38"/>
      <c r="B45" s="3"/>
      <c r="C45" s="14"/>
      <c r="D45" s="25"/>
      <c r="E45" s="25"/>
      <c r="F45" s="25"/>
      <c r="G45" s="44"/>
      <c r="H45" s="7" t="s">
        <v>6</v>
      </c>
      <c r="I45" s="37">
        <f t="shared" si="34"/>
        <v>22764.34</v>
      </c>
      <c r="J45" s="37">
        <f t="shared" si="34"/>
        <v>22764.34</v>
      </c>
      <c r="K45" s="37">
        <f t="shared" si="34"/>
        <v>22764.34</v>
      </c>
      <c r="L45" s="9">
        <f t="shared" si="34"/>
        <v>0</v>
      </c>
      <c r="M45" s="9">
        <f t="shared" si="34"/>
        <v>0</v>
      </c>
      <c r="N45" s="9">
        <f t="shared" si="34"/>
        <v>0</v>
      </c>
      <c r="O45" s="9">
        <f>O46</f>
        <v>0</v>
      </c>
      <c r="P45" s="9">
        <f t="shared" si="35"/>
        <v>0</v>
      </c>
      <c r="Q45" s="9">
        <f t="shared" si="35"/>
        <v>0</v>
      </c>
      <c r="R45" s="9">
        <f t="shared" si="35"/>
        <v>0</v>
      </c>
      <c r="S45" s="9">
        <f t="shared" si="35"/>
        <v>0</v>
      </c>
      <c r="T45" s="9">
        <f t="shared" si="35"/>
        <v>0</v>
      </c>
      <c r="U45" s="9">
        <f t="shared" si="35"/>
        <v>0</v>
      </c>
      <c r="V45" s="9">
        <f t="shared" si="35"/>
        <v>0</v>
      </c>
      <c r="W45" s="9">
        <f t="shared" si="35"/>
        <v>0</v>
      </c>
      <c r="X45" s="9">
        <f t="shared" si="35"/>
        <v>0</v>
      </c>
      <c r="Y45" s="9">
        <f t="shared" si="35"/>
        <v>0</v>
      </c>
      <c r="Z45" s="9">
        <f t="shared" si="35"/>
        <v>0</v>
      </c>
      <c r="AA45" s="9">
        <f t="shared" si="35"/>
        <v>0</v>
      </c>
      <c r="AB45" s="40"/>
    </row>
    <row r="46" spans="1:28" ht="45" x14ac:dyDescent="0.25">
      <c r="A46" s="33"/>
      <c r="B46" s="4"/>
      <c r="C46" s="14"/>
      <c r="D46" s="25"/>
      <c r="E46" s="25"/>
      <c r="F46" s="25"/>
      <c r="G46" s="44"/>
      <c r="H46" s="7" t="s">
        <v>8</v>
      </c>
      <c r="I46" s="37">
        <v>22764.34</v>
      </c>
      <c r="J46" s="37">
        <v>22764.34</v>
      </c>
      <c r="K46" s="37">
        <v>22764.34</v>
      </c>
      <c r="L46" s="9">
        <f>J46-K46</f>
        <v>0</v>
      </c>
      <c r="M46" s="9">
        <f>SUM(N46:Q46)</f>
        <v>0</v>
      </c>
      <c r="N46" s="9">
        <v>0</v>
      </c>
      <c r="O46" s="9">
        <v>0</v>
      </c>
      <c r="P46" s="9">
        <v>0</v>
      </c>
      <c r="Q46" s="9">
        <v>0</v>
      </c>
      <c r="R46" s="9">
        <f>SUM(S46:U46)</f>
        <v>0</v>
      </c>
      <c r="S46" s="9">
        <v>0</v>
      </c>
      <c r="T46" s="9">
        <v>0</v>
      </c>
      <c r="U46" s="9">
        <v>0</v>
      </c>
      <c r="V46" s="9">
        <f>SUM(W46:AA46)</f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40"/>
    </row>
    <row r="47" spans="1:28" x14ac:dyDescent="0.25">
      <c r="A47" s="38"/>
      <c r="B47" s="2"/>
      <c r="C47" s="14" t="s">
        <v>65</v>
      </c>
      <c r="D47" s="25">
        <v>2022</v>
      </c>
      <c r="E47" s="25">
        <v>2022</v>
      </c>
      <c r="F47" s="25" t="s">
        <v>167</v>
      </c>
      <c r="G47" s="44">
        <f>I49</f>
        <v>33141.522980000002</v>
      </c>
      <c r="H47" s="7" t="s">
        <v>5</v>
      </c>
      <c r="I47" s="37">
        <f t="shared" ref="I47:L48" si="36">I48</f>
        <v>33141.522980000002</v>
      </c>
      <c r="J47" s="42">
        <f t="shared" si="36"/>
        <v>34114.5</v>
      </c>
      <c r="K47" s="42">
        <f t="shared" si="36"/>
        <v>33141.522980000002</v>
      </c>
      <c r="L47" s="37">
        <f t="shared" si="36"/>
        <v>972.97701999999845</v>
      </c>
      <c r="M47" s="9">
        <f t="shared" ref="M47:P48" si="37">M48</f>
        <v>0</v>
      </c>
      <c r="N47" s="37">
        <f t="shared" si="37"/>
        <v>-972.97702000000004</v>
      </c>
      <c r="O47" s="9">
        <f>O48</f>
        <v>0</v>
      </c>
      <c r="P47" s="37">
        <f t="shared" si="37"/>
        <v>972.97702000000004</v>
      </c>
      <c r="Q47" s="9">
        <f t="shared" ref="Q47:AA48" si="38">Q48</f>
        <v>0</v>
      </c>
      <c r="R47" s="9">
        <f t="shared" si="38"/>
        <v>0</v>
      </c>
      <c r="S47" s="9">
        <f t="shared" si="38"/>
        <v>0</v>
      </c>
      <c r="T47" s="9">
        <f t="shared" si="38"/>
        <v>0</v>
      </c>
      <c r="U47" s="9">
        <f t="shared" si="38"/>
        <v>0</v>
      </c>
      <c r="V47" s="9">
        <f t="shared" si="38"/>
        <v>0</v>
      </c>
      <c r="W47" s="9">
        <f t="shared" si="38"/>
        <v>0</v>
      </c>
      <c r="X47" s="9">
        <f t="shared" si="38"/>
        <v>0</v>
      </c>
      <c r="Y47" s="9">
        <f t="shared" si="38"/>
        <v>0</v>
      </c>
      <c r="Z47" s="9">
        <f t="shared" si="38"/>
        <v>0</v>
      </c>
      <c r="AA47" s="9">
        <f t="shared" si="38"/>
        <v>0</v>
      </c>
      <c r="AB47" s="40" t="s">
        <v>7</v>
      </c>
    </row>
    <row r="48" spans="1:28" ht="60" x14ac:dyDescent="0.25">
      <c r="A48" s="38"/>
      <c r="B48" s="3"/>
      <c r="C48" s="14"/>
      <c r="D48" s="25"/>
      <c r="E48" s="25"/>
      <c r="F48" s="25"/>
      <c r="G48" s="44"/>
      <c r="H48" s="7" t="s">
        <v>6</v>
      </c>
      <c r="I48" s="37">
        <f t="shared" si="36"/>
        <v>33141.522980000002</v>
      </c>
      <c r="J48" s="42">
        <f t="shared" si="36"/>
        <v>34114.5</v>
      </c>
      <c r="K48" s="42">
        <f t="shared" si="36"/>
        <v>33141.522980000002</v>
      </c>
      <c r="L48" s="37">
        <f t="shared" si="36"/>
        <v>972.97701999999845</v>
      </c>
      <c r="M48" s="9">
        <f t="shared" si="37"/>
        <v>0</v>
      </c>
      <c r="N48" s="37">
        <f t="shared" si="37"/>
        <v>-972.97702000000004</v>
      </c>
      <c r="O48" s="9">
        <f>O49</f>
        <v>0</v>
      </c>
      <c r="P48" s="37">
        <f t="shared" si="37"/>
        <v>972.97702000000004</v>
      </c>
      <c r="Q48" s="9">
        <f t="shared" si="38"/>
        <v>0</v>
      </c>
      <c r="R48" s="9">
        <f t="shared" si="38"/>
        <v>0</v>
      </c>
      <c r="S48" s="9">
        <f t="shared" si="38"/>
        <v>0</v>
      </c>
      <c r="T48" s="9">
        <f t="shared" si="38"/>
        <v>0</v>
      </c>
      <c r="U48" s="9">
        <f t="shared" si="38"/>
        <v>0</v>
      </c>
      <c r="V48" s="9">
        <f t="shared" si="38"/>
        <v>0</v>
      </c>
      <c r="W48" s="9">
        <f t="shared" si="38"/>
        <v>0</v>
      </c>
      <c r="X48" s="9">
        <f t="shared" si="38"/>
        <v>0</v>
      </c>
      <c r="Y48" s="9">
        <f t="shared" si="38"/>
        <v>0</v>
      </c>
      <c r="Z48" s="9">
        <f t="shared" si="38"/>
        <v>0</v>
      </c>
      <c r="AA48" s="9">
        <f t="shared" si="38"/>
        <v>0</v>
      </c>
      <c r="AB48" s="40"/>
    </row>
    <row r="49" spans="1:28" ht="45" x14ac:dyDescent="0.25">
      <c r="A49" s="38"/>
      <c r="B49" s="3"/>
      <c r="C49" s="14"/>
      <c r="D49" s="25"/>
      <c r="E49" s="25"/>
      <c r="F49" s="25"/>
      <c r="G49" s="44"/>
      <c r="H49" s="7" t="s">
        <v>8</v>
      </c>
      <c r="I49" s="37">
        <v>33141.522980000002</v>
      </c>
      <c r="J49" s="42">
        <v>34114.5</v>
      </c>
      <c r="K49" s="42">
        <v>33141.522980000002</v>
      </c>
      <c r="L49" s="37">
        <f>J49-K49</f>
        <v>972.97701999999845</v>
      </c>
      <c r="M49" s="9">
        <f>SUM(N49:Q49)</f>
        <v>0</v>
      </c>
      <c r="N49" s="37">
        <v>-972.97702000000004</v>
      </c>
      <c r="O49" s="9">
        <v>0</v>
      </c>
      <c r="P49" s="37">
        <v>972.97702000000004</v>
      </c>
      <c r="Q49" s="9">
        <v>0</v>
      </c>
      <c r="R49" s="9">
        <f>SUM(S49:U49)</f>
        <v>0</v>
      </c>
      <c r="S49" s="9">
        <v>0</v>
      </c>
      <c r="T49" s="9">
        <v>0</v>
      </c>
      <c r="U49" s="9">
        <v>0</v>
      </c>
      <c r="V49" s="9">
        <f>SUM(W49:AA49)</f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40"/>
    </row>
    <row r="50" spans="1:28" x14ac:dyDescent="0.25">
      <c r="A50" s="38"/>
      <c r="B50" s="3"/>
      <c r="C50" s="14" t="s">
        <v>23</v>
      </c>
      <c r="D50" s="25" t="s">
        <v>24</v>
      </c>
      <c r="E50" s="25">
        <v>2023</v>
      </c>
      <c r="F50" s="25" t="s">
        <v>25</v>
      </c>
      <c r="G50" s="47">
        <f>I52</f>
        <v>126383.4</v>
      </c>
      <c r="H50" s="7" t="s">
        <v>5</v>
      </c>
      <c r="I50" s="42">
        <f t="shared" ref="I50:L51" si="39">I51</f>
        <v>126383.4</v>
      </c>
      <c r="J50" s="42">
        <f t="shared" si="39"/>
        <v>43383.4</v>
      </c>
      <c r="K50" s="42">
        <f t="shared" si="39"/>
        <v>43383.4</v>
      </c>
      <c r="L50" s="9">
        <f t="shared" si="39"/>
        <v>0</v>
      </c>
      <c r="M50" s="9">
        <f t="shared" ref="M50:P51" si="40">M51</f>
        <v>83000</v>
      </c>
      <c r="N50" s="9">
        <f t="shared" si="40"/>
        <v>83000</v>
      </c>
      <c r="O50" s="9">
        <f>O51</f>
        <v>0</v>
      </c>
      <c r="P50" s="9">
        <f t="shared" si="40"/>
        <v>0</v>
      </c>
      <c r="Q50" s="9">
        <f t="shared" ref="Q50:AA51" si="41">Q51</f>
        <v>0</v>
      </c>
      <c r="R50" s="37">
        <f t="shared" si="41"/>
        <v>63665.791980000002</v>
      </c>
      <c r="S50" s="9">
        <f t="shared" si="41"/>
        <v>0</v>
      </c>
      <c r="T50" s="37">
        <f t="shared" si="41"/>
        <v>63665.791980000002</v>
      </c>
      <c r="U50" s="9">
        <f t="shared" si="41"/>
        <v>0</v>
      </c>
      <c r="V50" s="9">
        <f t="shared" si="41"/>
        <v>63665.791980000002</v>
      </c>
      <c r="W50" s="9">
        <f t="shared" si="41"/>
        <v>0</v>
      </c>
      <c r="X50" s="9">
        <f t="shared" si="41"/>
        <v>0</v>
      </c>
      <c r="Y50" s="37">
        <f t="shared" si="41"/>
        <v>63665.791980000002</v>
      </c>
      <c r="Z50" s="9">
        <f t="shared" si="41"/>
        <v>0</v>
      </c>
      <c r="AA50" s="9">
        <f t="shared" si="41"/>
        <v>0</v>
      </c>
      <c r="AB50" s="40" t="s">
        <v>7</v>
      </c>
    </row>
    <row r="51" spans="1:28" ht="60" x14ac:dyDescent="0.25">
      <c r="A51" s="38"/>
      <c r="B51" s="3"/>
      <c r="C51" s="14"/>
      <c r="D51" s="25"/>
      <c r="E51" s="25"/>
      <c r="F51" s="25"/>
      <c r="G51" s="47"/>
      <c r="H51" s="7" t="s">
        <v>6</v>
      </c>
      <c r="I51" s="42">
        <f t="shared" si="39"/>
        <v>126383.4</v>
      </c>
      <c r="J51" s="42">
        <f t="shared" si="39"/>
        <v>43383.4</v>
      </c>
      <c r="K51" s="42">
        <f t="shared" si="39"/>
        <v>43383.4</v>
      </c>
      <c r="L51" s="9">
        <f t="shared" si="39"/>
        <v>0</v>
      </c>
      <c r="M51" s="9">
        <f t="shared" si="40"/>
        <v>83000</v>
      </c>
      <c r="N51" s="9">
        <f t="shared" si="40"/>
        <v>83000</v>
      </c>
      <c r="O51" s="9">
        <f>O52</f>
        <v>0</v>
      </c>
      <c r="P51" s="9">
        <f t="shared" si="40"/>
        <v>0</v>
      </c>
      <c r="Q51" s="9">
        <f t="shared" si="41"/>
        <v>0</v>
      </c>
      <c r="R51" s="37">
        <f t="shared" si="41"/>
        <v>63665.791980000002</v>
      </c>
      <c r="S51" s="9">
        <f t="shared" si="41"/>
        <v>0</v>
      </c>
      <c r="T51" s="37">
        <f t="shared" si="41"/>
        <v>63665.791980000002</v>
      </c>
      <c r="U51" s="9">
        <f t="shared" si="41"/>
        <v>0</v>
      </c>
      <c r="V51" s="9">
        <f t="shared" si="41"/>
        <v>63665.791980000002</v>
      </c>
      <c r="W51" s="9">
        <f t="shared" si="41"/>
        <v>0</v>
      </c>
      <c r="X51" s="9">
        <f t="shared" si="41"/>
        <v>0</v>
      </c>
      <c r="Y51" s="37">
        <f t="shared" si="41"/>
        <v>63665.791980000002</v>
      </c>
      <c r="Z51" s="9">
        <f t="shared" si="41"/>
        <v>0</v>
      </c>
      <c r="AA51" s="9">
        <f t="shared" si="41"/>
        <v>0</v>
      </c>
      <c r="AB51" s="40"/>
    </row>
    <row r="52" spans="1:28" ht="45" x14ac:dyDescent="0.25">
      <c r="A52" s="38"/>
      <c r="B52" s="3"/>
      <c r="C52" s="14"/>
      <c r="D52" s="25"/>
      <c r="E52" s="25"/>
      <c r="F52" s="25"/>
      <c r="G52" s="47"/>
      <c r="H52" s="7" t="s">
        <v>8</v>
      </c>
      <c r="I52" s="42">
        <v>126383.4</v>
      </c>
      <c r="J52" s="42">
        <v>43383.4</v>
      </c>
      <c r="K52" s="42">
        <v>43383.4</v>
      </c>
      <c r="L52" s="9">
        <f>J52-K52</f>
        <v>0</v>
      </c>
      <c r="M52" s="9">
        <f>SUM(N52:Q52)</f>
        <v>83000</v>
      </c>
      <c r="N52" s="9">
        <v>83000</v>
      </c>
      <c r="O52" s="9">
        <v>0</v>
      </c>
      <c r="P52" s="9">
        <v>0</v>
      </c>
      <c r="Q52" s="9">
        <v>0</v>
      </c>
      <c r="R52" s="37">
        <f>SUM(S52:U52)</f>
        <v>63665.791980000002</v>
      </c>
      <c r="S52" s="9">
        <v>0</v>
      </c>
      <c r="T52" s="37">
        <v>63665.791980000002</v>
      </c>
      <c r="U52" s="9">
        <v>0</v>
      </c>
      <c r="V52" s="37">
        <f>SUM(W52:AA52)</f>
        <v>63665.791980000002</v>
      </c>
      <c r="W52" s="37">
        <v>0</v>
      </c>
      <c r="X52" s="9">
        <v>0</v>
      </c>
      <c r="Y52" s="37">
        <v>63665.791980000002</v>
      </c>
      <c r="Z52" s="9">
        <v>0</v>
      </c>
      <c r="AA52" s="9">
        <v>0</v>
      </c>
      <c r="AB52" s="40"/>
    </row>
    <row r="53" spans="1:28" x14ac:dyDescent="0.25">
      <c r="A53" s="38"/>
      <c r="B53" s="3"/>
      <c r="C53" s="14" t="s">
        <v>26</v>
      </c>
      <c r="D53" s="25" t="s">
        <v>104</v>
      </c>
      <c r="E53" s="25">
        <v>2025</v>
      </c>
      <c r="F53" s="25" t="s">
        <v>28</v>
      </c>
      <c r="G53" s="44">
        <f>I55</f>
        <v>218811.98501</v>
      </c>
      <c r="H53" s="7" t="s">
        <v>5</v>
      </c>
      <c r="I53" s="37">
        <f t="shared" ref="I53:L54" si="42">I54</f>
        <v>218811.98501</v>
      </c>
      <c r="J53" s="9">
        <f t="shared" si="42"/>
        <v>0</v>
      </c>
      <c r="K53" s="9">
        <f t="shared" si="42"/>
        <v>0</v>
      </c>
      <c r="L53" s="9">
        <f t="shared" si="42"/>
        <v>0</v>
      </c>
      <c r="M53" s="37">
        <f t="shared" ref="M53:AA54" si="43">M54</f>
        <v>64450.79</v>
      </c>
      <c r="N53" s="37">
        <f t="shared" si="43"/>
        <v>64450.79</v>
      </c>
      <c r="O53" s="9">
        <f>O54</f>
        <v>0</v>
      </c>
      <c r="P53" s="9">
        <f t="shared" si="43"/>
        <v>0</v>
      </c>
      <c r="Q53" s="9">
        <f t="shared" si="43"/>
        <v>0</v>
      </c>
      <c r="R53" s="37">
        <f t="shared" si="43"/>
        <v>154361.19501</v>
      </c>
      <c r="S53" s="37">
        <f t="shared" si="43"/>
        <v>154361.19501</v>
      </c>
      <c r="T53" s="9">
        <f t="shared" si="43"/>
        <v>0</v>
      </c>
      <c r="U53" s="9">
        <f t="shared" si="43"/>
        <v>0</v>
      </c>
      <c r="V53" s="9">
        <f t="shared" si="43"/>
        <v>0</v>
      </c>
      <c r="W53" s="9">
        <f t="shared" si="43"/>
        <v>0</v>
      </c>
      <c r="X53" s="9">
        <f t="shared" si="43"/>
        <v>0</v>
      </c>
      <c r="Y53" s="9">
        <f t="shared" si="43"/>
        <v>0</v>
      </c>
      <c r="Z53" s="9">
        <f t="shared" si="43"/>
        <v>0</v>
      </c>
      <c r="AA53" s="9">
        <f t="shared" si="43"/>
        <v>0</v>
      </c>
      <c r="AB53" s="40" t="s">
        <v>7</v>
      </c>
    </row>
    <row r="54" spans="1:28" ht="60" x14ac:dyDescent="0.25">
      <c r="A54" s="38"/>
      <c r="B54" s="3"/>
      <c r="C54" s="14"/>
      <c r="D54" s="25"/>
      <c r="E54" s="25"/>
      <c r="F54" s="25"/>
      <c r="G54" s="44"/>
      <c r="H54" s="7" t="s">
        <v>6</v>
      </c>
      <c r="I54" s="37">
        <f t="shared" si="42"/>
        <v>218811.98501</v>
      </c>
      <c r="J54" s="9">
        <f t="shared" si="42"/>
        <v>0</v>
      </c>
      <c r="K54" s="9">
        <f t="shared" si="42"/>
        <v>0</v>
      </c>
      <c r="L54" s="9">
        <f t="shared" si="42"/>
        <v>0</v>
      </c>
      <c r="M54" s="37">
        <f>M55</f>
        <v>64450.79</v>
      </c>
      <c r="N54" s="37">
        <f>N55</f>
        <v>64450.79</v>
      </c>
      <c r="O54" s="9">
        <f>O55</f>
        <v>0</v>
      </c>
      <c r="P54" s="9">
        <f>P55</f>
        <v>0</v>
      </c>
      <c r="Q54" s="9">
        <v>0</v>
      </c>
      <c r="R54" s="37">
        <f>R55</f>
        <v>154361.19501</v>
      </c>
      <c r="S54" s="37">
        <f t="shared" si="43"/>
        <v>154361.19501</v>
      </c>
      <c r="T54" s="9">
        <f t="shared" si="43"/>
        <v>0</v>
      </c>
      <c r="U54" s="9">
        <f t="shared" si="43"/>
        <v>0</v>
      </c>
      <c r="V54" s="9">
        <f t="shared" si="43"/>
        <v>0</v>
      </c>
      <c r="W54" s="9">
        <f>W55</f>
        <v>0</v>
      </c>
      <c r="X54" s="9">
        <f t="shared" si="43"/>
        <v>0</v>
      </c>
      <c r="Y54" s="9">
        <f t="shared" si="43"/>
        <v>0</v>
      </c>
      <c r="Z54" s="9">
        <f t="shared" si="43"/>
        <v>0</v>
      </c>
      <c r="AA54" s="9">
        <f t="shared" si="43"/>
        <v>0</v>
      </c>
      <c r="AB54" s="40"/>
    </row>
    <row r="55" spans="1:28" ht="45" x14ac:dyDescent="0.25">
      <c r="A55" s="38"/>
      <c r="B55" s="3"/>
      <c r="C55" s="14"/>
      <c r="D55" s="25"/>
      <c r="E55" s="25"/>
      <c r="F55" s="25"/>
      <c r="G55" s="44"/>
      <c r="H55" s="7" t="s">
        <v>8</v>
      </c>
      <c r="I55" s="37">
        <f>M55+R55</f>
        <v>218811.98501</v>
      </c>
      <c r="J55" s="9">
        <v>0</v>
      </c>
      <c r="K55" s="9">
        <v>0</v>
      </c>
      <c r="L55" s="9">
        <f>J55-K55</f>
        <v>0</v>
      </c>
      <c r="M55" s="37">
        <f>SUM(N55:Q55)</f>
        <v>64450.79</v>
      </c>
      <c r="N55" s="37">
        <v>64450.79</v>
      </c>
      <c r="O55" s="9">
        <v>0</v>
      </c>
      <c r="P55" s="9">
        <v>0</v>
      </c>
      <c r="Q55" s="9">
        <v>0</v>
      </c>
      <c r="R55" s="37">
        <f>SUM(S55:U55)</f>
        <v>154361.19501</v>
      </c>
      <c r="S55" s="37">
        <f>165037.83585-10676.64084</f>
        <v>154361.19501</v>
      </c>
      <c r="T55" s="9">
        <v>0</v>
      </c>
      <c r="U55" s="9">
        <v>0</v>
      </c>
      <c r="V55" s="9">
        <f>SUM(W55:AA55)</f>
        <v>0</v>
      </c>
      <c r="W55" s="9">
        <f>5762.95415-5762.95415</f>
        <v>0</v>
      </c>
      <c r="X55" s="9">
        <v>0</v>
      </c>
      <c r="Y55" s="9">
        <v>0</v>
      </c>
      <c r="Z55" s="9">
        <f t="shared" ref="Z55:AA55" si="44">5762.95415-5762.95415</f>
        <v>0</v>
      </c>
      <c r="AA55" s="9">
        <f t="shared" si="44"/>
        <v>0</v>
      </c>
      <c r="AB55" s="40"/>
    </row>
    <row r="56" spans="1:28" x14ac:dyDescent="0.25">
      <c r="A56" s="38"/>
      <c r="B56" s="3"/>
      <c r="C56" s="14" t="s">
        <v>52</v>
      </c>
      <c r="D56" s="25">
        <v>2022</v>
      </c>
      <c r="E56" s="25">
        <v>2022</v>
      </c>
      <c r="F56" s="25" t="s">
        <v>29</v>
      </c>
      <c r="G56" s="44">
        <f>I58</f>
        <v>10237.43641</v>
      </c>
      <c r="H56" s="7" t="s">
        <v>5</v>
      </c>
      <c r="I56" s="37">
        <f t="shared" ref="I56:L57" si="45">I57</f>
        <v>10237.43641</v>
      </c>
      <c r="J56" s="37">
        <f t="shared" si="45"/>
        <v>10538.13</v>
      </c>
      <c r="K56" s="37">
        <f t="shared" si="45"/>
        <v>10237.43641</v>
      </c>
      <c r="L56" s="37">
        <f t="shared" si="45"/>
        <v>300.69358999999895</v>
      </c>
      <c r="M56" s="9">
        <f t="shared" ref="M56:AA57" si="46">M57</f>
        <v>0</v>
      </c>
      <c r="N56" s="37">
        <f t="shared" si="46"/>
        <v>-300.69358999999997</v>
      </c>
      <c r="O56" s="9">
        <f>O57</f>
        <v>0</v>
      </c>
      <c r="P56" s="37">
        <f t="shared" si="46"/>
        <v>300.69358999999997</v>
      </c>
      <c r="Q56" s="9">
        <f t="shared" si="46"/>
        <v>0</v>
      </c>
      <c r="R56" s="9">
        <f t="shared" si="46"/>
        <v>0</v>
      </c>
      <c r="S56" s="9">
        <f t="shared" si="46"/>
        <v>0</v>
      </c>
      <c r="T56" s="9">
        <f t="shared" si="46"/>
        <v>0</v>
      </c>
      <c r="U56" s="9">
        <f t="shared" si="46"/>
        <v>0</v>
      </c>
      <c r="V56" s="9">
        <f t="shared" si="46"/>
        <v>0</v>
      </c>
      <c r="W56" s="9">
        <f t="shared" si="46"/>
        <v>0</v>
      </c>
      <c r="X56" s="9">
        <f t="shared" si="46"/>
        <v>0</v>
      </c>
      <c r="Y56" s="9">
        <f t="shared" si="46"/>
        <v>0</v>
      </c>
      <c r="Z56" s="9">
        <f t="shared" si="46"/>
        <v>0</v>
      </c>
      <c r="AA56" s="9">
        <f t="shared" si="46"/>
        <v>0</v>
      </c>
      <c r="AB56" s="40" t="s">
        <v>7</v>
      </c>
    </row>
    <row r="57" spans="1:28" ht="60" x14ac:dyDescent="0.25">
      <c r="A57" s="38"/>
      <c r="B57" s="3"/>
      <c r="C57" s="14"/>
      <c r="D57" s="25"/>
      <c r="E57" s="25"/>
      <c r="F57" s="25"/>
      <c r="G57" s="44"/>
      <c r="H57" s="7" t="s">
        <v>6</v>
      </c>
      <c r="I57" s="37">
        <f t="shared" si="45"/>
        <v>10237.43641</v>
      </c>
      <c r="J57" s="37">
        <f t="shared" si="45"/>
        <v>10538.13</v>
      </c>
      <c r="K57" s="37">
        <f t="shared" si="45"/>
        <v>10237.43641</v>
      </c>
      <c r="L57" s="37">
        <f t="shared" si="45"/>
        <v>300.69358999999895</v>
      </c>
      <c r="M57" s="9">
        <f t="shared" si="46"/>
        <v>0</v>
      </c>
      <c r="N57" s="37">
        <f t="shared" si="46"/>
        <v>-300.69358999999997</v>
      </c>
      <c r="O57" s="9">
        <f>O58</f>
        <v>0</v>
      </c>
      <c r="P57" s="37">
        <f t="shared" si="46"/>
        <v>300.69358999999997</v>
      </c>
      <c r="Q57" s="9">
        <f t="shared" si="46"/>
        <v>0</v>
      </c>
      <c r="R57" s="9">
        <f t="shared" si="46"/>
        <v>0</v>
      </c>
      <c r="S57" s="9">
        <f t="shared" si="46"/>
        <v>0</v>
      </c>
      <c r="T57" s="9">
        <f t="shared" si="46"/>
        <v>0</v>
      </c>
      <c r="U57" s="9">
        <f t="shared" si="46"/>
        <v>0</v>
      </c>
      <c r="V57" s="9">
        <f t="shared" si="46"/>
        <v>0</v>
      </c>
      <c r="W57" s="9">
        <f t="shared" si="46"/>
        <v>0</v>
      </c>
      <c r="X57" s="9">
        <f t="shared" si="46"/>
        <v>0</v>
      </c>
      <c r="Y57" s="9">
        <f t="shared" si="46"/>
        <v>0</v>
      </c>
      <c r="Z57" s="9">
        <f t="shared" si="46"/>
        <v>0</v>
      </c>
      <c r="AA57" s="9">
        <f t="shared" si="46"/>
        <v>0</v>
      </c>
      <c r="AB57" s="40"/>
    </row>
    <row r="58" spans="1:28" ht="45" x14ac:dyDescent="0.25">
      <c r="A58" s="33"/>
      <c r="B58" s="4"/>
      <c r="C58" s="14"/>
      <c r="D58" s="25"/>
      <c r="E58" s="25"/>
      <c r="F58" s="25"/>
      <c r="G58" s="44"/>
      <c r="H58" s="7" t="s">
        <v>8</v>
      </c>
      <c r="I58" s="37">
        <v>10237.43641</v>
      </c>
      <c r="J58" s="37">
        <v>10538.13</v>
      </c>
      <c r="K58" s="37">
        <v>10237.43641</v>
      </c>
      <c r="L58" s="37">
        <f>J58-K58</f>
        <v>300.69358999999895</v>
      </c>
      <c r="M58" s="9">
        <f>SUM(N58:Q58)</f>
        <v>0</v>
      </c>
      <c r="N58" s="37">
        <v>-300.69358999999997</v>
      </c>
      <c r="O58" s="9">
        <v>0</v>
      </c>
      <c r="P58" s="37">
        <v>300.69358999999997</v>
      </c>
      <c r="Q58" s="9">
        <v>0</v>
      </c>
      <c r="R58" s="9">
        <f>SUM(S58:U58)</f>
        <v>0</v>
      </c>
      <c r="S58" s="9">
        <v>0</v>
      </c>
      <c r="T58" s="9">
        <v>0</v>
      </c>
      <c r="U58" s="9">
        <v>0</v>
      </c>
      <c r="V58" s="9">
        <f>SUM(W58:AA58)</f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40"/>
    </row>
    <row r="59" spans="1:28" ht="165" x14ac:dyDescent="0.25">
      <c r="A59" s="36" t="s">
        <v>18</v>
      </c>
      <c r="B59" s="2" t="s">
        <v>66</v>
      </c>
      <c r="C59" s="14"/>
      <c r="D59" s="25" t="s">
        <v>4</v>
      </c>
      <c r="E59" s="25" t="s">
        <v>4</v>
      </c>
      <c r="F59" s="25" t="s">
        <v>4</v>
      </c>
      <c r="G59" s="25" t="s">
        <v>4</v>
      </c>
      <c r="H59" s="7" t="s">
        <v>5</v>
      </c>
      <c r="I59" s="37">
        <f t="shared" ref="I59:N60" si="47">I60</f>
        <v>481403.25900000002</v>
      </c>
      <c r="J59" s="37">
        <f t="shared" si="47"/>
        <v>50423.59</v>
      </c>
      <c r="K59" s="37">
        <f t="shared" si="47"/>
        <v>50358.798999999999</v>
      </c>
      <c r="L59" s="37">
        <f t="shared" si="47"/>
        <v>64.791000000001077</v>
      </c>
      <c r="M59" s="37">
        <f t="shared" si="47"/>
        <v>25256.542820000002</v>
      </c>
      <c r="N59" s="37">
        <f t="shared" si="47"/>
        <v>22316.070810000001</v>
      </c>
      <c r="O59" s="9">
        <f t="shared" ref="O59:Q60" si="48">O60</f>
        <v>0</v>
      </c>
      <c r="P59" s="37">
        <f t="shared" si="48"/>
        <v>2940.47201</v>
      </c>
      <c r="Q59" s="9">
        <f t="shared" si="48"/>
        <v>0</v>
      </c>
      <c r="R59" s="37">
        <f t="shared" ref="R59:V59" si="49">R60</f>
        <v>328763.9265</v>
      </c>
      <c r="S59" s="37">
        <f t="shared" si="49"/>
        <v>328763.9265</v>
      </c>
      <c r="T59" s="9">
        <f t="shared" si="49"/>
        <v>0</v>
      </c>
      <c r="U59" s="9">
        <f t="shared" si="49"/>
        <v>0</v>
      </c>
      <c r="V59" s="37">
        <f t="shared" si="49"/>
        <v>238835.51169000001</v>
      </c>
      <c r="W59" s="37">
        <f>W60</f>
        <v>79899.670689999999</v>
      </c>
      <c r="X59" s="37">
        <f t="shared" ref="X59:AA59" si="50">X60</f>
        <v>141700.07</v>
      </c>
      <c r="Y59" s="37">
        <f t="shared" si="50"/>
        <v>17235.771000000001</v>
      </c>
      <c r="Z59" s="9">
        <f t="shared" si="50"/>
        <v>0</v>
      </c>
      <c r="AA59" s="9">
        <f t="shared" si="50"/>
        <v>0</v>
      </c>
      <c r="AB59" s="29" t="s">
        <v>4</v>
      </c>
    </row>
    <row r="60" spans="1:28" ht="60" x14ac:dyDescent="0.25">
      <c r="A60" s="38"/>
      <c r="B60" s="3"/>
      <c r="C60" s="14"/>
      <c r="D60" s="25"/>
      <c r="E60" s="25"/>
      <c r="F60" s="25"/>
      <c r="G60" s="25"/>
      <c r="H60" s="7" t="s">
        <v>6</v>
      </c>
      <c r="I60" s="37">
        <f t="shared" si="47"/>
        <v>481403.25900000002</v>
      </c>
      <c r="J60" s="37">
        <f t="shared" si="47"/>
        <v>50423.59</v>
      </c>
      <c r="K60" s="37">
        <f t="shared" si="47"/>
        <v>50358.798999999999</v>
      </c>
      <c r="L60" s="37">
        <f t="shared" si="47"/>
        <v>64.791000000001077</v>
      </c>
      <c r="M60" s="37">
        <f t="shared" si="47"/>
        <v>25256.542820000002</v>
      </c>
      <c r="N60" s="37">
        <f t="shared" si="47"/>
        <v>22316.070810000001</v>
      </c>
      <c r="O60" s="9">
        <f t="shared" si="48"/>
        <v>0</v>
      </c>
      <c r="P60" s="37">
        <f t="shared" si="48"/>
        <v>2940.47201</v>
      </c>
      <c r="Q60" s="9">
        <f t="shared" si="48"/>
        <v>0</v>
      </c>
      <c r="R60" s="37">
        <f t="shared" ref="R60:AA60" si="51">R61</f>
        <v>328763.9265</v>
      </c>
      <c r="S60" s="37">
        <f t="shared" si="51"/>
        <v>328763.9265</v>
      </c>
      <c r="T60" s="9">
        <f t="shared" si="51"/>
        <v>0</v>
      </c>
      <c r="U60" s="9">
        <f t="shared" si="51"/>
        <v>0</v>
      </c>
      <c r="V60" s="37">
        <f t="shared" si="51"/>
        <v>238835.51169000001</v>
      </c>
      <c r="W60" s="37">
        <f t="shared" si="51"/>
        <v>79899.670689999999</v>
      </c>
      <c r="X60" s="37">
        <f t="shared" si="51"/>
        <v>141700.07</v>
      </c>
      <c r="Y60" s="37">
        <f t="shared" si="51"/>
        <v>17235.771000000001</v>
      </c>
      <c r="Z60" s="9">
        <f t="shared" si="51"/>
        <v>0</v>
      </c>
      <c r="AA60" s="9">
        <f t="shared" si="51"/>
        <v>0</v>
      </c>
      <c r="AB60" s="29"/>
    </row>
    <row r="61" spans="1:28" ht="45" x14ac:dyDescent="0.25">
      <c r="A61" s="38"/>
      <c r="B61" s="3"/>
      <c r="C61" s="14"/>
      <c r="D61" s="25"/>
      <c r="E61" s="25"/>
      <c r="F61" s="25"/>
      <c r="G61" s="25"/>
      <c r="H61" s="7" t="s">
        <v>8</v>
      </c>
      <c r="I61" s="37">
        <f>I64+I70+I76</f>
        <v>481403.25900000002</v>
      </c>
      <c r="J61" s="37">
        <f>J64+J70+J76</f>
        <v>50423.59</v>
      </c>
      <c r="K61" s="37">
        <f>K64+K70+K76</f>
        <v>50358.798999999999</v>
      </c>
      <c r="L61" s="37">
        <f>L64+L70+L76</f>
        <v>64.791000000001077</v>
      </c>
      <c r="M61" s="37">
        <f>SUM(N61:Q61)</f>
        <v>25256.542820000002</v>
      </c>
      <c r="N61" s="37">
        <f>N64+N70+N76</f>
        <v>22316.070810000001</v>
      </c>
      <c r="O61" s="9">
        <f>O64+O70+O76</f>
        <v>0</v>
      </c>
      <c r="P61" s="37">
        <f>P64+P70+P76</f>
        <v>2940.47201</v>
      </c>
      <c r="Q61" s="9">
        <f>Q64+Q70+Q76</f>
        <v>0</v>
      </c>
      <c r="R61" s="37">
        <f>SUM(S61:U61)</f>
        <v>328763.9265</v>
      </c>
      <c r="S61" s="37">
        <f t="shared" ref="S61:W61" si="52">S64+S70+S76</f>
        <v>328763.9265</v>
      </c>
      <c r="T61" s="9">
        <f t="shared" si="52"/>
        <v>0</v>
      </c>
      <c r="U61" s="9">
        <f>U64+U70+U76</f>
        <v>0</v>
      </c>
      <c r="V61" s="37">
        <f>SUM(W61:AA61)</f>
        <v>238835.51169000001</v>
      </c>
      <c r="W61" s="37">
        <f t="shared" si="52"/>
        <v>79899.670689999999</v>
      </c>
      <c r="X61" s="37">
        <f t="shared" ref="X61:AA61" si="53">X64+X70+X76</f>
        <v>141700.07</v>
      </c>
      <c r="Y61" s="37">
        <f t="shared" si="53"/>
        <v>17235.771000000001</v>
      </c>
      <c r="Z61" s="9">
        <f t="shared" si="53"/>
        <v>0</v>
      </c>
      <c r="AA61" s="9">
        <f t="shared" si="53"/>
        <v>0</v>
      </c>
      <c r="AB61" s="29"/>
    </row>
    <row r="62" spans="1:28" x14ac:dyDescent="0.25">
      <c r="A62" s="38"/>
      <c r="B62" s="3"/>
      <c r="C62" s="14" t="s">
        <v>67</v>
      </c>
      <c r="D62" s="25" t="s">
        <v>104</v>
      </c>
      <c r="E62" s="25">
        <v>2025</v>
      </c>
      <c r="F62" s="25" t="s">
        <v>31</v>
      </c>
      <c r="G62" s="39">
        <f>I64</f>
        <v>184249</v>
      </c>
      <c r="H62" s="7" t="s">
        <v>5</v>
      </c>
      <c r="I62" s="9">
        <f t="shared" ref="I62:N63" si="54">I63</f>
        <v>184249</v>
      </c>
      <c r="J62" s="9">
        <f t="shared" si="54"/>
        <v>0</v>
      </c>
      <c r="K62" s="9">
        <f t="shared" si="54"/>
        <v>0</v>
      </c>
      <c r="L62" s="9">
        <f t="shared" si="54"/>
        <v>0</v>
      </c>
      <c r="M62" s="37">
        <f t="shared" si="54"/>
        <v>12024.767040000001</v>
      </c>
      <c r="N62" s="37">
        <f t="shared" si="54"/>
        <v>12024.767040000001</v>
      </c>
      <c r="O62" s="9">
        <f>O63</f>
        <v>0</v>
      </c>
      <c r="P62" s="9">
        <f>P63</f>
        <v>0</v>
      </c>
      <c r="Q62" s="9">
        <f t="shared" ref="Q62:AA63" si="55">Q63</f>
        <v>0</v>
      </c>
      <c r="R62" s="37">
        <f t="shared" si="55"/>
        <v>152229.83396000002</v>
      </c>
      <c r="S62" s="37">
        <f t="shared" si="55"/>
        <v>152229.83396000002</v>
      </c>
      <c r="T62" s="9">
        <f t="shared" si="55"/>
        <v>0</v>
      </c>
      <c r="U62" s="9">
        <f t="shared" si="55"/>
        <v>0</v>
      </c>
      <c r="V62" s="42">
        <f t="shared" si="55"/>
        <v>96885.143939999994</v>
      </c>
      <c r="W62" s="42">
        <f t="shared" si="55"/>
        <v>19994.398000000001</v>
      </c>
      <c r="X62" s="37">
        <f t="shared" si="55"/>
        <v>74173.863639999996</v>
      </c>
      <c r="Y62" s="37">
        <f t="shared" si="55"/>
        <v>2716.8823000000002</v>
      </c>
      <c r="Z62" s="9">
        <f t="shared" si="55"/>
        <v>0</v>
      </c>
      <c r="AA62" s="9">
        <f t="shared" si="55"/>
        <v>0</v>
      </c>
      <c r="AB62" s="40" t="s">
        <v>7</v>
      </c>
    </row>
    <row r="63" spans="1:28" ht="60" x14ac:dyDescent="0.25">
      <c r="A63" s="38"/>
      <c r="B63" s="3"/>
      <c r="C63" s="14"/>
      <c r="D63" s="25"/>
      <c r="E63" s="25"/>
      <c r="F63" s="25"/>
      <c r="G63" s="39"/>
      <c r="H63" s="7" t="s">
        <v>6</v>
      </c>
      <c r="I63" s="9">
        <f t="shared" si="54"/>
        <v>184249</v>
      </c>
      <c r="J63" s="9">
        <f t="shared" si="54"/>
        <v>0</v>
      </c>
      <c r="K63" s="9">
        <f t="shared" si="54"/>
        <v>0</v>
      </c>
      <c r="L63" s="9">
        <f t="shared" si="54"/>
        <v>0</v>
      </c>
      <c r="M63" s="37">
        <f t="shared" si="54"/>
        <v>12024.767040000001</v>
      </c>
      <c r="N63" s="37">
        <f t="shared" si="54"/>
        <v>12024.767040000001</v>
      </c>
      <c r="O63" s="9">
        <f>O64</f>
        <v>0</v>
      </c>
      <c r="P63" s="9">
        <f>P64</f>
        <v>0</v>
      </c>
      <c r="Q63" s="9">
        <f>Q64</f>
        <v>0</v>
      </c>
      <c r="R63" s="37">
        <f>R64</f>
        <v>152229.83396000002</v>
      </c>
      <c r="S63" s="37">
        <f t="shared" si="55"/>
        <v>152229.83396000002</v>
      </c>
      <c r="T63" s="9">
        <f t="shared" si="55"/>
        <v>0</v>
      </c>
      <c r="U63" s="9">
        <f t="shared" si="55"/>
        <v>0</v>
      </c>
      <c r="V63" s="42">
        <f t="shared" si="55"/>
        <v>96885.143939999994</v>
      </c>
      <c r="W63" s="42">
        <f t="shared" si="55"/>
        <v>19994.398000000001</v>
      </c>
      <c r="X63" s="37">
        <f t="shared" si="55"/>
        <v>74173.863639999996</v>
      </c>
      <c r="Y63" s="37">
        <f t="shared" si="55"/>
        <v>2716.8823000000002</v>
      </c>
      <c r="Z63" s="9">
        <f t="shared" si="55"/>
        <v>0</v>
      </c>
      <c r="AA63" s="9">
        <f t="shared" si="55"/>
        <v>0</v>
      </c>
      <c r="AB63" s="40"/>
    </row>
    <row r="64" spans="1:28" ht="45" x14ac:dyDescent="0.25">
      <c r="A64" s="38"/>
      <c r="B64" s="3"/>
      <c r="C64" s="14"/>
      <c r="D64" s="25"/>
      <c r="E64" s="25"/>
      <c r="F64" s="25"/>
      <c r="G64" s="39"/>
      <c r="H64" s="7" t="s">
        <v>8</v>
      </c>
      <c r="I64" s="9">
        <v>184249</v>
      </c>
      <c r="J64" s="9">
        <f>K64+L64</f>
        <v>0</v>
      </c>
      <c r="K64" s="9">
        <v>0</v>
      </c>
      <c r="L64" s="9">
        <v>0</v>
      </c>
      <c r="M64" s="37">
        <f>SUM(N64:Q64)</f>
        <v>12024.767040000001</v>
      </c>
      <c r="N64" s="37">
        <f>12024.76704</f>
        <v>12024.767040000001</v>
      </c>
      <c r="O64" s="9">
        <v>0</v>
      </c>
      <c r="P64" s="9">
        <v>0</v>
      </c>
      <c r="Q64" s="9">
        <v>0</v>
      </c>
      <c r="R64" s="37">
        <f>SUM(S64:U64)</f>
        <v>152229.83396000002</v>
      </c>
      <c r="S64" s="37">
        <f>152229.83496-0.001+76890.74594-76890.74594</f>
        <v>152229.83396000002</v>
      </c>
      <c r="T64" s="9">
        <v>0</v>
      </c>
      <c r="U64" s="9">
        <v>0</v>
      </c>
      <c r="V64" s="37">
        <f>SUM(W64:AA64)</f>
        <v>96885.143939999994</v>
      </c>
      <c r="W64" s="42">
        <f>19994.398</f>
        <v>19994.398000000001</v>
      </c>
      <c r="X64" s="48">
        <f>74173.86364</f>
        <v>74173.863639999996</v>
      </c>
      <c r="Y64" s="48">
        <v>2716.8823000000002</v>
      </c>
      <c r="Z64" s="41">
        <v>0</v>
      </c>
      <c r="AA64" s="41">
        <v>0</v>
      </c>
      <c r="AB64" s="40"/>
    </row>
    <row r="65" spans="1:28" x14ac:dyDescent="0.25">
      <c r="A65" s="38"/>
      <c r="B65" s="3"/>
      <c r="C65" s="14" t="s">
        <v>93</v>
      </c>
      <c r="D65" s="25"/>
      <c r="E65" s="25"/>
      <c r="F65" s="25"/>
      <c r="G65" s="39"/>
      <c r="H65" s="7" t="s">
        <v>5</v>
      </c>
      <c r="I65" s="9">
        <f t="shared" ref="I65:N66" si="56">I66</f>
        <v>86750</v>
      </c>
      <c r="J65" s="9">
        <f t="shared" si="56"/>
        <v>0</v>
      </c>
      <c r="K65" s="9">
        <f t="shared" si="56"/>
        <v>0</v>
      </c>
      <c r="L65" s="9">
        <f t="shared" si="56"/>
        <v>0</v>
      </c>
      <c r="M65" s="9">
        <f t="shared" si="56"/>
        <v>0</v>
      </c>
      <c r="N65" s="9">
        <f t="shared" si="56"/>
        <v>0</v>
      </c>
      <c r="O65" s="9">
        <f>O66</f>
        <v>0</v>
      </c>
      <c r="P65" s="9">
        <f t="shared" ref="P65:U66" si="57">P66</f>
        <v>0</v>
      </c>
      <c r="Q65" s="9">
        <f t="shared" si="57"/>
        <v>0</v>
      </c>
      <c r="R65" s="37">
        <f t="shared" si="57"/>
        <v>67197.259000000005</v>
      </c>
      <c r="S65" s="37">
        <f t="shared" si="57"/>
        <v>67197.259000000005</v>
      </c>
      <c r="T65" s="9">
        <f t="shared" si="57"/>
        <v>0</v>
      </c>
      <c r="U65" s="9">
        <f t="shared" si="57"/>
        <v>0</v>
      </c>
      <c r="V65" s="9">
        <f>W65+Z65</f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40"/>
    </row>
    <row r="66" spans="1:28" ht="60" x14ac:dyDescent="0.25">
      <c r="A66" s="38"/>
      <c r="B66" s="3"/>
      <c r="C66" s="14"/>
      <c r="D66" s="25"/>
      <c r="E66" s="25"/>
      <c r="F66" s="25"/>
      <c r="G66" s="39"/>
      <c r="H66" s="7" t="s">
        <v>6</v>
      </c>
      <c r="I66" s="9">
        <f t="shared" si="56"/>
        <v>86750</v>
      </c>
      <c r="J66" s="9">
        <f t="shared" si="56"/>
        <v>0</v>
      </c>
      <c r="K66" s="9">
        <f t="shared" si="56"/>
        <v>0</v>
      </c>
      <c r="L66" s="9">
        <f t="shared" si="56"/>
        <v>0</v>
      </c>
      <c r="M66" s="9">
        <f t="shared" si="56"/>
        <v>0</v>
      </c>
      <c r="N66" s="9">
        <f t="shared" si="56"/>
        <v>0</v>
      </c>
      <c r="O66" s="9">
        <f>O67</f>
        <v>0</v>
      </c>
      <c r="P66" s="9">
        <f t="shared" si="57"/>
        <v>0</v>
      </c>
      <c r="Q66" s="9">
        <f t="shared" si="57"/>
        <v>0</v>
      </c>
      <c r="R66" s="37">
        <f t="shared" si="57"/>
        <v>67197.259000000005</v>
      </c>
      <c r="S66" s="37">
        <f t="shared" si="57"/>
        <v>67197.259000000005</v>
      </c>
      <c r="T66" s="9">
        <f t="shared" si="57"/>
        <v>0</v>
      </c>
      <c r="U66" s="9">
        <f t="shared" si="57"/>
        <v>0</v>
      </c>
      <c r="V66" s="9">
        <f>W66+Z66</f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40"/>
    </row>
    <row r="67" spans="1:28" ht="93" customHeight="1" x14ac:dyDescent="0.25">
      <c r="A67" s="33"/>
      <c r="B67" s="4"/>
      <c r="C67" s="14"/>
      <c r="D67" s="25"/>
      <c r="E67" s="25"/>
      <c r="F67" s="25"/>
      <c r="G67" s="39"/>
      <c r="H67" s="7" t="s">
        <v>8</v>
      </c>
      <c r="I67" s="9">
        <f>86750</f>
        <v>86750</v>
      </c>
      <c r="J67" s="9">
        <v>0</v>
      </c>
      <c r="K67" s="9">
        <v>0</v>
      </c>
      <c r="L67" s="9">
        <f>J67-K67</f>
        <v>0</v>
      </c>
      <c r="M67" s="9">
        <f>SUM(N67:Q67)</f>
        <v>0</v>
      </c>
      <c r="N67" s="9">
        <v>0</v>
      </c>
      <c r="O67" s="9">
        <v>0</v>
      </c>
      <c r="P67" s="9">
        <v>0</v>
      </c>
      <c r="Q67" s="9">
        <v>0</v>
      </c>
      <c r="R67" s="37">
        <f>SUM(S67:U67)</f>
        <v>67197.259000000005</v>
      </c>
      <c r="S67" s="37">
        <v>67197.259000000005</v>
      </c>
      <c r="T67" s="9">
        <v>0</v>
      </c>
      <c r="U67" s="9">
        <v>0</v>
      </c>
      <c r="V67" s="37">
        <f>SUM(W67:AA67)</f>
        <v>19552.740000000002</v>
      </c>
      <c r="W67" s="9">
        <v>0</v>
      </c>
      <c r="X67" s="48">
        <v>19552.740000000002</v>
      </c>
      <c r="Y67" s="41">
        <v>0</v>
      </c>
      <c r="Z67" s="41">
        <v>0</v>
      </c>
      <c r="AA67" s="41">
        <v>0</v>
      </c>
      <c r="AB67" s="40"/>
    </row>
    <row r="68" spans="1:28" x14ac:dyDescent="0.25">
      <c r="A68" s="38"/>
      <c r="B68" s="2"/>
      <c r="C68" s="14" t="s">
        <v>68</v>
      </c>
      <c r="D68" s="25" t="s">
        <v>103</v>
      </c>
      <c r="E68" s="25">
        <v>2025</v>
      </c>
      <c r="F68" s="25" t="s">
        <v>32</v>
      </c>
      <c r="G68" s="44">
        <f>I70</f>
        <v>276795.46000000002</v>
      </c>
      <c r="H68" s="7" t="s">
        <v>5</v>
      </c>
      <c r="I68" s="37">
        <f t="shared" ref="I68:N69" si="58">I69</f>
        <v>276795.46000000002</v>
      </c>
      <c r="J68" s="9">
        <f t="shared" si="58"/>
        <v>30000</v>
      </c>
      <c r="K68" s="9">
        <f t="shared" si="58"/>
        <v>30000</v>
      </c>
      <c r="L68" s="9">
        <f>L69</f>
        <v>0</v>
      </c>
      <c r="M68" s="37">
        <f t="shared" si="58"/>
        <v>13231.77578</v>
      </c>
      <c r="N68" s="37">
        <f t="shared" si="58"/>
        <v>10356.09477</v>
      </c>
      <c r="O68" s="9">
        <f>O69</f>
        <v>0</v>
      </c>
      <c r="P68" s="37">
        <f t="shared" ref="P68:AA69" si="59">P69</f>
        <v>2875.6810099999998</v>
      </c>
      <c r="Q68" s="9">
        <f t="shared" si="59"/>
        <v>0</v>
      </c>
      <c r="R68" s="37">
        <f t="shared" si="59"/>
        <v>176534.09253999998</v>
      </c>
      <c r="S68" s="37">
        <f t="shared" si="59"/>
        <v>176534.09253999998</v>
      </c>
      <c r="T68" s="9">
        <f t="shared" si="59"/>
        <v>0</v>
      </c>
      <c r="U68" s="9">
        <f t="shared" si="59"/>
        <v>0</v>
      </c>
      <c r="V68" s="37">
        <f t="shared" si="59"/>
        <v>141950.36775</v>
      </c>
      <c r="W68" s="37">
        <f t="shared" si="59"/>
        <v>59905.272689999998</v>
      </c>
      <c r="X68" s="37">
        <f t="shared" si="59"/>
        <v>67526.206359999996</v>
      </c>
      <c r="Y68" s="37">
        <f t="shared" si="59"/>
        <v>14518.8887</v>
      </c>
      <c r="Z68" s="9">
        <f t="shared" si="59"/>
        <v>0</v>
      </c>
      <c r="AA68" s="9">
        <f t="shared" si="59"/>
        <v>0</v>
      </c>
      <c r="AB68" s="40" t="s">
        <v>7</v>
      </c>
    </row>
    <row r="69" spans="1:28" ht="60" x14ac:dyDescent="0.25">
      <c r="A69" s="38"/>
      <c r="B69" s="3"/>
      <c r="C69" s="14"/>
      <c r="D69" s="25"/>
      <c r="E69" s="25"/>
      <c r="F69" s="25"/>
      <c r="G69" s="44"/>
      <c r="H69" s="7" t="s">
        <v>6</v>
      </c>
      <c r="I69" s="37">
        <f t="shared" si="58"/>
        <v>276795.46000000002</v>
      </c>
      <c r="J69" s="9">
        <f t="shared" si="58"/>
        <v>30000</v>
      </c>
      <c r="K69" s="9">
        <f t="shared" si="58"/>
        <v>30000</v>
      </c>
      <c r="L69" s="9">
        <f>L70</f>
        <v>0</v>
      </c>
      <c r="M69" s="37">
        <f t="shared" si="58"/>
        <v>13231.77578</v>
      </c>
      <c r="N69" s="37">
        <f t="shared" si="58"/>
        <v>10356.09477</v>
      </c>
      <c r="O69" s="9">
        <f>O70</f>
        <v>0</v>
      </c>
      <c r="P69" s="37">
        <f t="shared" si="59"/>
        <v>2875.6810099999998</v>
      </c>
      <c r="Q69" s="9">
        <f t="shared" si="59"/>
        <v>0</v>
      </c>
      <c r="R69" s="37">
        <f t="shared" si="59"/>
        <v>176534.09253999998</v>
      </c>
      <c r="S69" s="37">
        <f t="shared" si="59"/>
        <v>176534.09253999998</v>
      </c>
      <c r="T69" s="9">
        <f t="shared" si="59"/>
        <v>0</v>
      </c>
      <c r="U69" s="9">
        <f t="shared" si="59"/>
        <v>0</v>
      </c>
      <c r="V69" s="37">
        <f t="shared" si="59"/>
        <v>141950.36775</v>
      </c>
      <c r="W69" s="37">
        <f t="shared" si="59"/>
        <v>59905.272689999998</v>
      </c>
      <c r="X69" s="37">
        <f t="shared" si="59"/>
        <v>67526.206359999996</v>
      </c>
      <c r="Y69" s="37">
        <f t="shared" si="59"/>
        <v>14518.8887</v>
      </c>
      <c r="Z69" s="9">
        <f t="shared" si="59"/>
        <v>0</v>
      </c>
      <c r="AA69" s="9">
        <f t="shared" si="59"/>
        <v>0</v>
      </c>
      <c r="AB69" s="40"/>
    </row>
    <row r="70" spans="1:28" ht="45" x14ac:dyDescent="0.25">
      <c r="A70" s="38"/>
      <c r="B70" s="3"/>
      <c r="C70" s="14"/>
      <c r="D70" s="25"/>
      <c r="E70" s="25"/>
      <c r="F70" s="25"/>
      <c r="G70" s="44"/>
      <c r="H70" s="7" t="s">
        <v>8</v>
      </c>
      <c r="I70" s="37">
        <v>276795.46000000002</v>
      </c>
      <c r="J70" s="9">
        <f>K70+L70</f>
        <v>30000</v>
      </c>
      <c r="K70" s="9">
        <v>30000</v>
      </c>
      <c r="L70" s="9">
        <v>0</v>
      </c>
      <c r="M70" s="37">
        <f>SUM(N70:Q70)</f>
        <v>13231.77578</v>
      </c>
      <c r="N70" s="37">
        <v>10356.09477</v>
      </c>
      <c r="O70" s="9">
        <v>0</v>
      </c>
      <c r="P70" s="37">
        <v>2875.6810099999998</v>
      </c>
      <c r="Q70" s="9">
        <v>0</v>
      </c>
      <c r="R70" s="37">
        <f>SUM(S70:U70)</f>
        <v>176534.09253999998</v>
      </c>
      <c r="S70" s="37">
        <f>176534.09254+82045.09506-82045.09506</f>
        <v>176534.09253999998</v>
      </c>
      <c r="T70" s="9">
        <v>0</v>
      </c>
      <c r="U70" s="9">
        <v>0</v>
      </c>
      <c r="V70" s="37">
        <f>SUM(W70:AA70)</f>
        <v>141950.36775</v>
      </c>
      <c r="W70" s="37">
        <f>59905.27269</f>
        <v>59905.272689999998</v>
      </c>
      <c r="X70" s="48">
        <f>67526.20636</f>
        <v>67526.206359999996</v>
      </c>
      <c r="Y70" s="48">
        <v>14518.8887</v>
      </c>
      <c r="Z70" s="41">
        <v>0</v>
      </c>
      <c r="AA70" s="41">
        <v>0</v>
      </c>
      <c r="AB70" s="40"/>
    </row>
    <row r="71" spans="1:28" ht="15" customHeight="1" x14ac:dyDescent="0.25">
      <c r="A71" s="38"/>
      <c r="B71" s="3"/>
      <c r="C71" s="14" t="s">
        <v>93</v>
      </c>
      <c r="D71" s="25"/>
      <c r="E71" s="25"/>
      <c r="F71" s="25"/>
      <c r="G71" s="44"/>
      <c r="H71" s="7" t="s">
        <v>5</v>
      </c>
      <c r="I71" s="9">
        <f t="shared" ref="I71:N72" si="60">I72</f>
        <v>92220</v>
      </c>
      <c r="J71" s="9">
        <f t="shared" si="60"/>
        <v>0</v>
      </c>
      <c r="K71" s="9">
        <f t="shared" si="60"/>
        <v>0</v>
      </c>
      <c r="L71" s="9">
        <f t="shared" si="60"/>
        <v>0</v>
      </c>
      <c r="M71" s="9">
        <f t="shared" si="60"/>
        <v>0</v>
      </c>
      <c r="N71" s="9">
        <f t="shared" si="60"/>
        <v>0</v>
      </c>
      <c r="O71" s="9">
        <f>O72</f>
        <v>0</v>
      </c>
      <c r="P71" s="9">
        <f t="shared" ref="P71:AA71" si="61">P72</f>
        <v>0</v>
      </c>
      <c r="Q71" s="9">
        <f t="shared" si="61"/>
        <v>0</v>
      </c>
      <c r="R71" s="37">
        <f t="shared" si="61"/>
        <v>30142.839</v>
      </c>
      <c r="S71" s="37">
        <f t="shared" si="61"/>
        <v>30142.839</v>
      </c>
      <c r="T71" s="9">
        <f t="shared" si="61"/>
        <v>0</v>
      </c>
      <c r="U71" s="9">
        <f t="shared" si="61"/>
        <v>0</v>
      </c>
      <c r="V71" s="37">
        <f t="shared" si="61"/>
        <v>62077.161</v>
      </c>
      <c r="W71" s="9">
        <f t="shared" si="61"/>
        <v>0</v>
      </c>
      <c r="X71" s="37">
        <f t="shared" si="61"/>
        <v>62077.161</v>
      </c>
      <c r="Y71" s="9">
        <f t="shared" si="61"/>
        <v>0</v>
      </c>
      <c r="Z71" s="9">
        <f t="shared" si="61"/>
        <v>0</v>
      </c>
      <c r="AA71" s="9">
        <f t="shared" si="61"/>
        <v>0</v>
      </c>
      <c r="AB71" s="40"/>
    </row>
    <row r="72" spans="1:28" ht="60" x14ac:dyDescent="0.25">
      <c r="A72" s="38"/>
      <c r="B72" s="3"/>
      <c r="C72" s="14"/>
      <c r="D72" s="25"/>
      <c r="E72" s="25"/>
      <c r="F72" s="25"/>
      <c r="G72" s="44"/>
      <c r="H72" s="7" t="s">
        <v>6</v>
      </c>
      <c r="I72" s="9">
        <f t="shared" si="60"/>
        <v>92220</v>
      </c>
      <c r="J72" s="9">
        <f t="shared" si="60"/>
        <v>0</v>
      </c>
      <c r="K72" s="9">
        <f t="shared" si="60"/>
        <v>0</v>
      </c>
      <c r="L72" s="9">
        <f t="shared" si="60"/>
        <v>0</v>
      </c>
      <c r="M72" s="9">
        <f t="shared" si="60"/>
        <v>0</v>
      </c>
      <c r="N72" s="9">
        <f t="shared" si="60"/>
        <v>0</v>
      </c>
      <c r="O72" s="9">
        <f>O73</f>
        <v>0</v>
      </c>
      <c r="P72" s="9">
        <f t="shared" ref="P72:AA72" si="62">P73</f>
        <v>0</v>
      </c>
      <c r="Q72" s="9">
        <f t="shared" si="62"/>
        <v>0</v>
      </c>
      <c r="R72" s="37">
        <f t="shared" si="62"/>
        <v>30142.839</v>
      </c>
      <c r="S72" s="37">
        <f t="shared" si="62"/>
        <v>30142.839</v>
      </c>
      <c r="T72" s="9">
        <f t="shared" si="62"/>
        <v>0</v>
      </c>
      <c r="U72" s="9">
        <f t="shared" si="62"/>
        <v>0</v>
      </c>
      <c r="V72" s="37">
        <f t="shared" si="62"/>
        <v>62077.161</v>
      </c>
      <c r="W72" s="9">
        <f t="shared" si="62"/>
        <v>0</v>
      </c>
      <c r="X72" s="37">
        <f t="shared" si="62"/>
        <v>62077.161</v>
      </c>
      <c r="Y72" s="9">
        <f t="shared" si="62"/>
        <v>0</v>
      </c>
      <c r="Z72" s="9">
        <f t="shared" si="62"/>
        <v>0</v>
      </c>
      <c r="AA72" s="9">
        <f t="shared" si="62"/>
        <v>0</v>
      </c>
      <c r="AB72" s="40"/>
    </row>
    <row r="73" spans="1:28" ht="106.5" customHeight="1" x14ac:dyDescent="0.25">
      <c r="A73" s="33"/>
      <c r="B73" s="4"/>
      <c r="C73" s="14"/>
      <c r="D73" s="25"/>
      <c r="E73" s="25"/>
      <c r="F73" s="25"/>
      <c r="G73" s="44"/>
      <c r="H73" s="7" t="s">
        <v>8</v>
      </c>
      <c r="I73" s="9">
        <v>92220</v>
      </c>
      <c r="J73" s="9">
        <v>0</v>
      </c>
      <c r="K73" s="9">
        <v>0</v>
      </c>
      <c r="L73" s="9">
        <f>J73-K73</f>
        <v>0</v>
      </c>
      <c r="M73" s="9">
        <f>SUM(N73:Q73)</f>
        <v>0</v>
      </c>
      <c r="N73" s="9">
        <v>0</v>
      </c>
      <c r="O73" s="9">
        <v>0</v>
      </c>
      <c r="P73" s="9">
        <v>0</v>
      </c>
      <c r="Q73" s="9">
        <v>0</v>
      </c>
      <c r="R73" s="37">
        <f>SUM(S73:U73)</f>
        <v>30142.839</v>
      </c>
      <c r="S73" s="37">
        <v>30142.839</v>
      </c>
      <c r="T73" s="9">
        <v>0</v>
      </c>
      <c r="U73" s="9">
        <v>0</v>
      </c>
      <c r="V73" s="37">
        <f>SUM(W73:AA73)</f>
        <v>62077.161</v>
      </c>
      <c r="W73" s="9">
        <v>0</v>
      </c>
      <c r="X73" s="48">
        <v>62077.161</v>
      </c>
      <c r="Y73" s="41">
        <v>0</v>
      </c>
      <c r="Z73" s="41">
        <v>0</v>
      </c>
      <c r="AA73" s="41">
        <v>0</v>
      </c>
      <c r="AB73" s="40"/>
    </row>
    <row r="74" spans="1:28" x14ac:dyDescent="0.25">
      <c r="A74" s="38"/>
      <c r="B74" s="2"/>
      <c r="C74" s="14" t="s">
        <v>33</v>
      </c>
      <c r="D74" s="25">
        <v>2022</v>
      </c>
      <c r="E74" s="25">
        <v>2022</v>
      </c>
      <c r="F74" s="25" t="s">
        <v>166</v>
      </c>
      <c r="G74" s="47">
        <f>I76</f>
        <v>20358.798999999999</v>
      </c>
      <c r="H74" s="7" t="s">
        <v>5</v>
      </c>
      <c r="I74" s="42">
        <f t="shared" ref="I74:N75" si="63">I75</f>
        <v>20358.798999999999</v>
      </c>
      <c r="J74" s="37">
        <f t="shared" si="63"/>
        <v>20423.59</v>
      </c>
      <c r="K74" s="42">
        <f t="shared" si="63"/>
        <v>20358.798999999999</v>
      </c>
      <c r="L74" s="37">
        <f t="shared" si="63"/>
        <v>64.791000000001077</v>
      </c>
      <c r="M74" s="9">
        <f t="shared" si="63"/>
        <v>0</v>
      </c>
      <c r="N74" s="37">
        <f t="shared" si="63"/>
        <v>-64.790999999999997</v>
      </c>
      <c r="O74" s="9">
        <f>O75</f>
        <v>0</v>
      </c>
      <c r="P74" s="37">
        <f t="shared" ref="P74:AA75" si="64">P75</f>
        <v>64.790999999999997</v>
      </c>
      <c r="Q74" s="9">
        <f t="shared" si="64"/>
        <v>0</v>
      </c>
      <c r="R74" s="9">
        <f t="shared" si="64"/>
        <v>0</v>
      </c>
      <c r="S74" s="9">
        <f t="shared" si="64"/>
        <v>0</v>
      </c>
      <c r="T74" s="9">
        <f t="shared" si="64"/>
        <v>0</v>
      </c>
      <c r="U74" s="9">
        <f t="shared" si="64"/>
        <v>0</v>
      </c>
      <c r="V74" s="9">
        <f t="shared" si="64"/>
        <v>0</v>
      </c>
      <c r="W74" s="9">
        <f t="shared" si="64"/>
        <v>0</v>
      </c>
      <c r="X74" s="9">
        <f t="shared" si="64"/>
        <v>0</v>
      </c>
      <c r="Y74" s="9">
        <f t="shared" si="64"/>
        <v>0</v>
      </c>
      <c r="Z74" s="9">
        <f t="shared" si="64"/>
        <v>0</v>
      </c>
      <c r="AA74" s="9">
        <f t="shared" si="64"/>
        <v>0</v>
      </c>
      <c r="AB74" s="40" t="s">
        <v>9</v>
      </c>
    </row>
    <row r="75" spans="1:28" ht="60" x14ac:dyDescent="0.25">
      <c r="A75" s="38"/>
      <c r="B75" s="3"/>
      <c r="C75" s="14"/>
      <c r="D75" s="25"/>
      <c r="E75" s="25"/>
      <c r="F75" s="25"/>
      <c r="G75" s="49"/>
      <c r="H75" s="7" t="s">
        <v>6</v>
      </c>
      <c r="I75" s="42">
        <f t="shared" si="63"/>
        <v>20358.798999999999</v>
      </c>
      <c r="J75" s="37">
        <f t="shared" si="63"/>
        <v>20423.59</v>
      </c>
      <c r="K75" s="42">
        <f t="shared" si="63"/>
        <v>20358.798999999999</v>
      </c>
      <c r="L75" s="37">
        <f t="shared" si="63"/>
        <v>64.791000000001077</v>
      </c>
      <c r="M75" s="9">
        <f t="shared" si="63"/>
        <v>0</v>
      </c>
      <c r="N75" s="37">
        <f t="shared" si="63"/>
        <v>-64.790999999999997</v>
      </c>
      <c r="O75" s="9">
        <f>O76</f>
        <v>0</v>
      </c>
      <c r="P75" s="37">
        <f t="shared" si="64"/>
        <v>64.790999999999997</v>
      </c>
      <c r="Q75" s="9">
        <f t="shared" si="64"/>
        <v>0</v>
      </c>
      <c r="R75" s="9">
        <f t="shared" si="64"/>
        <v>0</v>
      </c>
      <c r="S75" s="9">
        <f t="shared" si="64"/>
        <v>0</v>
      </c>
      <c r="T75" s="9">
        <f t="shared" si="64"/>
        <v>0</v>
      </c>
      <c r="U75" s="9">
        <f t="shared" si="64"/>
        <v>0</v>
      </c>
      <c r="V75" s="9">
        <f t="shared" si="64"/>
        <v>0</v>
      </c>
      <c r="W75" s="9">
        <f t="shared" si="64"/>
        <v>0</v>
      </c>
      <c r="X75" s="9">
        <f t="shared" si="64"/>
        <v>0</v>
      </c>
      <c r="Y75" s="9">
        <f t="shared" si="64"/>
        <v>0</v>
      </c>
      <c r="Z75" s="9">
        <f t="shared" si="64"/>
        <v>0</v>
      </c>
      <c r="AA75" s="9">
        <f t="shared" si="64"/>
        <v>0</v>
      </c>
      <c r="AB75" s="40"/>
    </row>
    <row r="76" spans="1:28" ht="45" x14ac:dyDescent="0.25">
      <c r="A76" s="33"/>
      <c r="B76" s="3"/>
      <c r="C76" s="14"/>
      <c r="D76" s="25"/>
      <c r="E76" s="25"/>
      <c r="F76" s="25"/>
      <c r="G76" s="50"/>
      <c r="H76" s="7" t="s">
        <v>8</v>
      </c>
      <c r="I76" s="42">
        <v>20358.798999999999</v>
      </c>
      <c r="J76" s="37">
        <v>20423.59</v>
      </c>
      <c r="K76" s="42">
        <v>20358.798999999999</v>
      </c>
      <c r="L76" s="37">
        <f>J76-K76</f>
        <v>64.791000000001077</v>
      </c>
      <c r="M76" s="9">
        <f>SUM(N76:Q76)</f>
        <v>0</v>
      </c>
      <c r="N76" s="37">
        <v>-64.790999999999997</v>
      </c>
      <c r="O76" s="9">
        <v>0</v>
      </c>
      <c r="P76" s="37">
        <v>64.790999999999997</v>
      </c>
      <c r="Q76" s="9">
        <v>0</v>
      </c>
      <c r="R76" s="9">
        <f>SUM(S76:U76)</f>
        <v>0</v>
      </c>
      <c r="S76" s="9">
        <v>0</v>
      </c>
      <c r="T76" s="9">
        <v>0</v>
      </c>
      <c r="U76" s="9">
        <v>0</v>
      </c>
      <c r="V76" s="9">
        <f>SUM(W76:AA76)</f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40"/>
    </row>
    <row r="77" spans="1:28" ht="165" x14ac:dyDescent="0.25">
      <c r="A77" s="36" t="s">
        <v>30</v>
      </c>
      <c r="B77" s="2" t="s">
        <v>69</v>
      </c>
      <c r="C77" s="14"/>
      <c r="D77" s="25" t="s">
        <v>4</v>
      </c>
      <c r="E77" s="25" t="s">
        <v>4</v>
      </c>
      <c r="F77" s="25" t="s">
        <v>4</v>
      </c>
      <c r="G77" s="51" t="s">
        <v>4</v>
      </c>
      <c r="H77" s="7" t="s">
        <v>5</v>
      </c>
      <c r="I77" s="37">
        <f t="shared" ref="I77:N78" si="65">I78</f>
        <v>304593.73519000004</v>
      </c>
      <c r="J77" s="9">
        <f t="shared" si="65"/>
        <v>14300</v>
      </c>
      <c r="K77" s="9">
        <f>K78</f>
        <v>14300</v>
      </c>
      <c r="L77" s="9">
        <f>L78</f>
        <v>0</v>
      </c>
      <c r="M77" s="37">
        <f t="shared" si="65"/>
        <v>144106.53378</v>
      </c>
      <c r="N77" s="37">
        <f t="shared" si="65"/>
        <v>144106.53378</v>
      </c>
      <c r="O77" s="9">
        <f>O78</f>
        <v>0</v>
      </c>
      <c r="P77" s="9">
        <f t="shared" ref="P77:AA78" si="66">P78</f>
        <v>0</v>
      </c>
      <c r="Q77" s="9">
        <f t="shared" si="66"/>
        <v>0</v>
      </c>
      <c r="R77" s="37">
        <f t="shared" si="66"/>
        <v>5234.8505400000004</v>
      </c>
      <c r="S77" s="37">
        <f t="shared" si="66"/>
        <v>5234.8505400000004</v>
      </c>
      <c r="T77" s="9">
        <f t="shared" si="66"/>
        <v>0</v>
      </c>
      <c r="U77" s="9">
        <f t="shared" si="66"/>
        <v>0</v>
      </c>
      <c r="V77" s="37">
        <f t="shared" si="66"/>
        <v>141597.75589999999</v>
      </c>
      <c r="W77" s="37">
        <f t="shared" si="66"/>
        <v>140952.35186</v>
      </c>
      <c r="X77" s="42">
        <f t="shared" si="66"/>
        <v>645.40404000000001</v>
      </c>
      <c r="Y77" s="9">
        <f t="shared" si="66"/>
        <v>0</v>
      </c>
      <c r="Z77" s="9">
        <f t="shared" si="66"/>
        <v>0</v>
      </c>
      <c r="AA77" s="9">
        <f t="shared" si="66"/>
        <v>0</v>
      </c>
      <c r="AB77" s="29" t="s">
        <v>4</v>
      </c>
    </row>
    <row r="78" spans="1:28" ht="60" x14ac:dyDescent="0.25">
      <c r="A78" s="38"/>
      <c r="B78" s="3"/>
      <c r="C78" s="14"/>
      <c r="D78" s="25"/>
      <c r="E78" s="25"/>
      <c r="F78" s="25"/>
      <c r="G78" s="52"/>
      <c r="H78" s="7" t="s">
        <v>6</v>
      </c>
      <c r="I78" s="37">
        <f t="shared" si="65"/>
        <v>304593.73519000004</v>
      </c>
      <c r="J78" s="9">
        <f t="shared" si="65"/>
        <v>14300</v>
      </c>
      <c r="K78" s="9">
        <f t="shared" si="65"/>
        <v>14300</v>
      </c>
      <c r="L78" s="9">
        <f t="shared" si="65"/>
        <v>0</v>
      </c>
      <c r="M78" s="37">
        <f t="shared" si="65"/>
        <v>144106.53378</v>
      </c>
      <c r="N78" s="37">
        <f t="shared" si="65"/>
        <v>144106.53378</v>
      </c>
      <c r="O78" s="9">
        <f>O79</f>
        <v>0</v>
      </c>
      <c r="P78" s="9">
        <f t="shared" si="66"/>
        <v>0</v>
      </c>
      <c r="Q78" s="9">
        <f t="shared" si="66"/>
        <v>0</v>
      </c>
      <c r="R78" s="37">
        <f t="shared" si="66"/>
        <v>5234.8505400000004</v>
      </c>
      <c r="S78" s="37">
        <f t="shared" si="66"/>
        <v>5234.8505400000004</v>
      </c>
      <c r="T78" s="9">
        <f t="shared" si="66"/>
        <v>0</v>
      </c>
      <c r="U78" s="9">
        <f t="shared" si="66"/>
        <v>0</v>
      </c>
      <c r="V78" s="37">
        <f t="shared" si="66"/>
        <v>141597.75589999999</v>
      </c>
      <c r="W78" s="37">
        <f t="shared" si="66"/>
        <v>140952.35186</v>
      </c>
      <c r="X78" s="42">
        <f t="shared" si="66"/>
        <v>645.40404000000001</v>
      </c>
      <c r="Y78" s="9">
        <f t="shared" si="66"/>
        <v>0</v>
      </c>
      <c r="Z78" s="9">
        <f t="shared" si="66"/>
        <v>0</v>
      </c>
      <c r="AA78" s="9">
        <f t="shared" si="66"/>
        <v>0</v>
      </c>
      <c r="AB78" s="29"/>
    </row>
    <row r="79" spans="1:28" ht="45" x14ac:dyDescent="0.25">
      <c r="A79" s="38"/>
      <c r="B79" s="3"/>
      <c r="C79" s="14"/>
      <c r="D79" s="25"/>
      <c r="E79" s="25"/>
      <c r="F79" s="25"/>
      <c r="G79" s="53"/>
      <c r="H79" s="7" t="s">
        <v>8</v>
      </c>
      <c r="I79" s="37">
        <f>I82+I85+I88+I91+I94</f>
        <v>304593.73519000004</v>
      </c>
      <c r="J79" s="9">
        <f>J82+J85+J88+J91+J94</f>
        <v>14300</v>
      </c>
      <c r="K79" s="9">
        <f>K82+K85+K88+K91+K94</f>
        <v>14300</v>
      </c>
      <c r="L79" s="9">
        <f>L82+L85+L88+L91+L94</f>
        <v>0</v>
      </c>
      <c r="M79" s="37">
        <f>SUM(N79:Q79)</f>
        <v>144106.53378</v>
      </c>
      <c r="N79" s="37">
        <f t="shared" ref="N79:AA79" si="67">N82+N85+N88+N91+N94</f>
        <v>144106.53378</v>
      </c>
      <c r="O79" s="9">
        <f t="shared" si="67"/>
        <v>0</v>
      </c>
      <c r="P79" s="9">
        <f t="shared" si="67"/>
        <v>0</v>
      </c>
      <c r="Q79" s="9">
        <f t="shared" si="67"/>
        <v>0</v>
      </c>
      <c r="R79" s="37">
        <f>SUM(S79:U79)</f>
        <v>5234.8505400000004</v>
      </c>
      <c r="S79" s="37">
        <f t="shared" si="67"/>
        <v>5234.8505400000004</v>
      </c>
      <c r="T79" s="9">
        <f t="shared" si="67"/>
        <v>0</v>
      </c>
      <c r="U79" s="9">
        <f>U82+U85+U88+U91+U94</f>
        <v>0</v>
      </c>
      <c r="V79" s="37">
        <f>SUM(W79:AA79)</f>
        <v>141597.75589999999</v>
      </c>
      <c r="W79" s="37">
        <f t="shared" si="67"/>
        <v>140952.35186</v>
      </c>
      <c r="X79" s="42">
        <f t="shared" si="67"/>
        <v>645.40404000000001</v>
      </c>
      <c r="Y79" s="9">
        <v>0</v>
      </c>
      <c r="Z79" s="9">
        <f t="shared" si="67"/>
        <v>0</v>
      </c>
      <c r="AA79" s="9">
        <f t="shared" si="67"/>
        <v>0</v>
      </c>
      <c r="AB79" s="29"/>
    </row>
    <row r="80" spans="1:28" x14ac:dyDescent="0.25">
      <c r="A80" s="38"/>
      <c r="B80" s="3"/>
      <c r="C80" s="14" t="s">
        <v>70</v>
      </c>
      <c r="D80" s="25" t="s">
        <v>24</v>
      </c>
      <c r="E80" s="25">
        <v>2023</v>
      </c>
      <c r="F80" s="25" t="s">
        <v>165</v>
      </c>
      <c r="G80" s="47">
        <f>I82</f>
        <v>14106.398219999999</v>
      </c>
      <c r="H80" s="7" t="s">
        <v>5</v>
      </c>
      <c r="I80" s="42">
        <f t="shared" ref="I80:L81" si="68">I81</f>
        <v>14106.398219999999</v>
      </c>
      <c r="J80" s="9">
        <f t="shared" si="68"/>
        <v>7100</v>
      </c>
      <c r="K80" s="9">
        <f t="shared" si="68"/>
        <v>7100</v>
      </c>
      <c r="L80" s="9">
        <f t="shared" si="68"/>
        <v>0</v>
      </c>
      <c r="M80" s="42">
        <f t="shared" ref="M80:AA81" si="69">M81</f>
        <v>7006.39822</v>
      </c>
      <c r="N80" s="42">
        <f t="shared" si="69"/>
        <v>7006.39822</v>
      </c>
      <c r="O80" s="9">
        <f>O81</f>
        <v>0</v>
      </c>
      <c r="P80" s="9">
        <f t="shared" si="69"/>
        <v>0</v>
      </c>
      <c r="Q80" s="9">
        <f t="shared" si="69"/>
        <v>0</v>
      </c>
      <c r="R80" s="9">
        <f t="shared" si="69"/>
        <v>0</v>
      </c>
      <c r="S80" s="9">
        <f t="shared" si="69"/>
        <v>0</v>
      </c>
      <c r="T80" s="9">
        <f t="shared" si="69"/>
        <v>0</v>
      </c>
      <c r="U80" s="9">
        <f t="shared" si="69"/>
        <v>0</v>
      </c>
      <c r="V80" s="9">
        <f t="shared" si="69"/>
        <v>0</v>
      </c>
      <c r="W80" s="9">
        <f t="shared" si="69"/>
        <v>0</v>
      </c>
      <c r="X80" s="9">
        <f t="shared" si="69"/>
        <v>0</v>
      </c>
      <c r="Y80" s="9">
        <f t="shared" si="69"/>
        <v>0</v>
      </c>
      <c r="Z80" s="9">
        <f t="shared" si="69"/>
        <v>0</v>
      </c>
      <c r="AA80" s="9">
        <f t="shared" si="69"/>
        <v>0</v>
      </c>
      <c r="AB80" s="40" t="s">
        <v>7</v>
      </c>
    </row>
    <row r="81" spans="1:28" ht="60" x14ac:dyDescent="0.25">
      <c r="A81" s="38"/>
      <c r="B81" s="3"/>
      <c r="C81" s="14"/>
      <c r="D81" s="25"/>
      <c r="E81" s="25"/>
      <c r="F81" s="25"/>
      <c r="G81" s="47"/>
      <c r="H81" s="7" t="s">
        <v>6</v>
      </c>
      <c r="I81" s="42">
        <f t="shared" si="68"/>
        <v>14106.398219999999</v>
      </c>
      <c r="J81" s="9">
        <f t="shared" si="68"/>
        <v>7100</v>
      </c>
      <c r="K81" s="9">
        <f t="shared" si="68"/>
        <v>7100</v>
      </c>
      <c r="L81" s="9">
        <f t="shared" si="68"/>
        <v>0</v>
      </c>
      <c r="M81" s="42">
        <f t="shared" si="69"/>
        <v>7006.39822</v>
      </c>
      <c r="N81" s="42">
        <f t="shared" si="69"/>
        <v>7006.39822</v>
      </c>
      <c r="O81" s="9">
        <f>O82</f>
        <v>0</v>
      </c>
      <c r="P81" s="9">
        <f t="shared" si="69"/>
        <v>0</v>
      </c>
      <c r="Q81" s="9">
        <f t="shared" si="69"/>
        <v>0</v>
      </c>
      <c r="R81" s="9">
        <f t="shared" si="69"/>
        <v>0</v>
      </c>
      <c r="S81" s="9">
        <f t="shared" si="69"/>
        <v>0</v>
      </c>
      <c r="T81" s="9">
        <f t="shared" si="69"/>
        <v>0</v>
      </c>
      <c r="U81" s="9">
        <f t="shared" si="69"/>
        <v>0</v>
      </c>
      <c r="V81" s="9">
        <f t="shared" si="69"/>
        <v>0</v>
      </c>
      <c r="W81" s="9">
        <f t="shared" si="69"/>
        <v>0</v>
      </c>
      <c r="X81" s="9">
        <f t="shared" si="69"/>
        <v>0</v>
      </c>
      <c r="Y81" s="9">
        <f t="shared" si="69"/>
        <v>0</v>
      </c>
      <c r="Z81" s="9">
        <f t="shared" si="69"/>
        <v>0</v>
      </c>
      <c r="AA81" s="9">
        <f t="shared" si="69"/>
        <v>0</v>
      </c>
      <c r="AB81" s="40"/>
    </row>
    <row r="82" spans="1:28" ht="45" x14ac:dyDescent="0.25">
      <c r="A82" s="38"/>
      <c r="B82" s="3"/>
      <c r="C82" s="14"/>
      <c r="D82" s="25"/>
      <c r="E82" s="25"/>
      <c r="F82" s="25"/>
      <c r="G82" s="47"/>
      <c r="H82" s="7" t="s">
        <v>8</v>
      </c>
      <c r="I82" s="42">
        <v>14106.398219999999</v>
      </c>
      <c r="J82" s="9">
        <v>7100</v>
      </c>
      <c r="K82" s="9">
        <v>7100</v>
      </c>
      <c r="L82" s="9">
        <f>J82-K82</f>
        <v>0</v>
      </c>
      <c r="M82" s="42">
        <f>SUM(N82:Q82)</f>
        <v>7006.39822</v>
      </c>
      <c r="N82" s="42">
        <v>7006.39822</v>
      </c>
      <c r="O82" s="9">
        <v>0</v>
      </c>
      <c r="P82" s="9">
        <v>0</v>
      </c>
      <c r="Q82" s="9">
        <v>0</v>
      </c>
      <c r="R82" s="9">
        <f>SUM(S82:U82)</f>
        <v>0</v>
      </c>
      <c r="S82" s="9">
        <v>0</v>
      </c>
      <c r="T82" s="9">
        <v>0</v>
      </c>
      <c r="U82" s="9">
        <v>0</v>
      </c>
      <c r="V82" s="9">
        <f>SUM(W82:AA82)</f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40"/>
    </row>
    <row r="83" spans="1:28" x14ac:dyDescent="0.25">
      <c r="A83" s="38"/>
      <c r="B83" s="3"/>
      <c r="C83" s="14" t="s">
        <v>71</v>
      </c>
      <c r="D83" s="25" t="s">
        <v>24</v>
      </c>
      <c r="E83" s="25">
        <v>2023</v>
      </c>
      <c r="F83" s="25" t="s">
        <v>164</v>
      </c>
      <c r="G83" s="44">
        <f>I85</f>
        <v>13035.21513</v>
      </c>
      <c r="H83" s="7" t="s">
        <v>5</v>
      </c>
      <c r="I83" s="37">
        <f t="shared" ref="I83:L84" si="70">I84</f>
        <v>13035.21513</v>
      </c>
      <c r="J83" s="9">
        <f t="shared" si="70"/>
        <v>7200</v>
      </c>
      <c r="K83" s="9">
        <f t="shared" si="70"/>
        <v>7200</v>
      </c>
      <c r="L83" s="9">
        <f t="shared" si="70"/>
        <v>0</v>
      </c>
      <c r="M83" s="37">
        <f t="shared" ref="M83:AA84" si="71">M84</f>
        <v>5835.2151299999996</v>
      </c>
      <c r="N83" s="37">
        <f t="shared" si="71"/>
        <v>5835.2151299999996</v>
      </c>
      <c r="O83" s="9">
        <f>O84</f>
        <v>0</v>
      </c>
      <c r="P83" s="9">
        <f t="shared" si="71"/>
        <v>0</v>
      </c>
      <c r="Q83" s="9">
        <f t="shared" si="71"/>
        <v>0</v>
      </c>
      <c r="R83" s="9">
        <f t="shared" si="71"/>
        <v>0</v>
      </c>
      <c r="S83" s="9">
        <f t="shared" si="71"/>
        <v>0</v>
      </c>
      <c r="T83" s="9">
        <f t="shared" si="71"/>
        <v>0</v>
      </c>
      <c r="U83" s="9">
        <f t="shared" si="71"/>
        <v>0</v>
      </c>
      <c r="V83" s="9">
        <f t="shared" si="71"/>
        <v>0</v>
      </c>
      <c r="W83" s="9">
        <f t="shared" si="71"/>
        <v>0</v>
      </c>
      <c r="X83" s="9">
        <f t="shared" si="71"/>
        <v>0</v>
      </c>
      <c r="Y83" s="9">
        <f t="shared" si="71"/>
        <v>0</v>
      </c>
      <c r="Z83" s="9">
        <f t="shared" si="71"/>
        <v>0</v>
      </c>
      <c r="AA83" s="9">
        <f t="shared" si="71"/>
        <v>0</v>
      </c>
      <c r="AB83" s="40" t="s">
        <v>7</v>
      </c>
    </row>
    <row r="84" spans="1:28" ht="60" x14ac:dyDescent="0.25">
      <c r="A84" s="38"/>
      <c r="B84" s="3"/>
      <c r="C84" s="14"/>
      <c r="D84" s="25"/>
      <c r="E84" s="25"/>
      <c r="F84" s="25"/>
      <c r="G84" s="44"/>
      <c r="H84" s="7" t="s">
        <v>6</v>
      </c>
      <c r="I84" s="37">
        <f t="shared" si="70"/>
        <v>13035.21513</v>
      </c>
      <c r="J84" s="9">
        <f t="shared" si="70"/>
        <v>7200</v>
      </c>
      <c r="K84" s="9">
        <f t="shared" si="70"/>
        <v>7200</v>
      </c>
      <c r="L84" s="9">
        <f t="shared" si="70"/>
        <v>0</v>
      </c>
      <c r="M84" s="37">
        <f t="shared" si="71"/>
        <v>5835.2151299999996</v>
      </c>
      <c r="N84" s="37">
        <f t="shared" si="71"/>
        <v>5835.2151299999996</v>
      </c>
      <c r="O84" s="9">
        <f>O85</f>
        <v>0</v>
      </c>
      <c r="P84" s="9">
        <f t="shared" si="71"/>
        <v>0</v>
      </c>
      <c r="Q84" s="9">
        <f t="shared" si="71"/>
        <v>0</v>
      </c>
      <c r="R84" s="9">
        <f t="shared" si="71"/>
        <v>0</v>
      </c>
      <c r="S84" s="9">
        <f t="shared" si="71"/>
        <v>0</v>
      </c>
      <c r="T84" s="9">
        <f t="shared" si="71"/>
        <v>0</v>
      </c>
      <c r="U84" s="9">
        <f t="shared" si="71"/>
        <v>0</v>
      </c>
      <c r="V84" s="9">
        <f t="shared" si="71"/>
        <v>0</v>
      </c>
      <c r="W84" s="9">
        <f t="shared" si="71"/>
        <v>0</v>
      </c>
      <c r="X84" s="9">
        <f t="shared" si="71"/>
        <v>0</v>
      </c>
      <c r="Y84" s="9">
        <f t="shared" si="71"/>
        <v>0</v>
      </c>
      <c r="Z84" s="9">
        <f t="shared" si="71"/>
        <v>0</v>
      </c>
      <c r="AA84" s="9">
        <f t="shared" si="71"/>
        <v>0</v>
      </c>
      <c r="AB84" s="40"/>
    </row>
    <row r="85" spans="1:28" ht="45" x14ac:dyDescent="0.25">
      <c r="A85" s="38"/>
      <c r="B85" s="3"/>
      <c r="C85" s="14"/>
      <c r="D85" s="25"/>
      <c r="E85" s="25"/>
      <c r="F85" s="25"/>
      <c r="G85" s="44"/>
      <c r="H85" s="7" t="s">
        <v>8</v>
      </c>
      <c r="I85" s="37">
        <v>13035.21513</v>
      </c>
      <c r="J85" s="9">
        <v>7200</v>
      </c>
      <c r="K85" s="9">
        <v>7200</v>
      </c>
      <c r="L85" s="9">
        <f>J85-K85</f>
        <v>0</v>
      </c>
      <c r="M85" s="37">
        <f>SUM(N85:Q85)</f>
        <v>5835.2151299999996</v>
      </c>
      <c r="N85" s="37">
        <v>5835.2151299999996</v>
      </c>
      <c r="O85" s="9">
        <v>0</v>
      </c>
      <c r="P85" s="9">
        <v>0</v>
      </c>
      <c r="Q85" s="9">
        <v>0</v>
      </c>
      <c r="R85" s="9">
        <f>SUM(S85:U85)</f>
        <v>0</v>
      </c>
      <c r="S85" s="9">
        <v>0</v>
      </c>
      <c r="T85" s="9">
        <v>0</v>
      </c>
      <c r="U85" s="9">
        <v>0</v>
      </c>
      <c r="V85" s="9">
        <f>SUM(W85:AA85)</f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40"/>
    </row>
    <row r="86" spans="1:28" x14ac:dyDescent="0.25">
      <c r="A86" s="38"/>
      <c r="B86" s="3"/>
      <c r="C86" s="14" t="s">
        <v>86</v>
      </c>
      <c r="D86" s="25">
        <v>2023</v>
      </c>
      <c r="E86" s="25">
        <v>2023</v>
      </c>
      <c r="F86" s="25" t="s">
        <v>163</v>
      </c>
      <c r="G86" s="44">
        <f>I88</f>
        <v>15092.421840000001</v>
      </c>
      <c r="H86" s="7" t="s">
        <v>5</v>
      </c>
      <c r="I86" s="37">
        <f t="shared" ref="I86:L87" si="72">I87</f>
        <v>15092.421840000001</v>
      </c>
      <c r="J86" s="9">
        <f t="shared" si="72"/>
        <v>0</v>
      </c>
      <c r="K86" s="9">
        <f t="shared" si="72"/>
        <v>0</v>
      </c>
      <c r="L86" s="9">
        <f t="shared" si="72"/>
        <v>0</v>
      </c>
      <c r="M86" s="37">
        <f t="shared" ref="M86:AA87" si="73">M87</f>
        <v>15092.421840000001</v>
      </c>
      <c r="N86" s="37">
        <f t="shared" si="73"/>
        <v>15092.421840000001</v>
      </c>
      <c r="O86" s="9">
        <f>O87</f>
        <v>0</v>
      </c>
      <c r="P86" s="9">
        <f t="shared" si="73"/>
        <v>0</v>
      </c>
      <c r="Q86" s="9">
        <f t="shared" si="73"/>
        <v>0</v>
      </c>
      <c r="R86" s="9">
        <f t="shared" si="73"/>
        <v>0</v>
      </c>
      <c r="S86" s="9">
        <f t="shared" si="73"/>
        <v>0</v>
      </c>
      <c r="T86" s="9">
        <f t="shared" si="73"/>
        <v>0</v>
      </c>
      <c r="U86" s="9">
        <f t="shared" si="73"/>
        <v>0</v>
      </c>
      <c r="V86" s="9">
        <f t="shared" si="73"/>
        <v>0</v>
      </c>
      <c r="W86" s="9">
        <f t="shared" si="73"/>
        <v>0</v>
      </c>
      <c r="X86" s="9">
        <f t="shared" si="73"/>
        <v>0</v>
      </c>
      <c r="Y86" s="9">
        <f t="shared" si="73"/>
        <v>0</v>
      </c>
      <c r="Z86" s="9">
        <f t="shared" si="73"/>
        <v>0</v>
      </c>
      <c r="AA86" s="9">
        <f t="shared" si="73"/>
        <v>0</v>
      </c>
      <c r="AB86" s="40" t="s">
        <v>7</v>
      </c>
    </row>
    <row r="87" spans="1:28" ht="60" x14ac:dyDescent="0.25">
      <c r="A87" s="38"/>
      <c r="B87" s="3"/>
      <c r="C87" s="14"/>
      <c r="D87" s="25"/>
      <c r="E87" s="25"/>
      <c r="F87" s="25"/>
      <c r="G87" s="44"/>
      <c r="H87" s="7" t="s">
        <v>6</v>
      </c>
      <c r="I87" s="37">
        <f t="shared" si="72"/>
        <v>15092.421840000001</v>
      </c>
      <c r="J87" s="9">
        <f t="shared" si="72"/>
        <v>0</v>
      </c>
      <c r="K87" s="9">
        <f t="shared" si="72"/>
        <v>0</v>
      </c>
      <c r="L87" s="9">
        <f t="shared" si="72"/>
        <v>0</v>
      </c>
      <c r="M87" s="37">
        <f t="shared" si="73"/>
        <v>15092.421840000001</v>
      </c>
      <c r="N87" s="37">
        <f t="shared" si="73"/>
        <v>15092.421840000001</v>
      </c>
      <c r="O87" s="9">
        <f>O88</f>
        <v>0</v>
      </c>
      <c r="P87" s="9">
        <f t="shared" si="73"/>
        <v>0</v>
      </c>
      <c r="Q87" s="9">
        <f t="shared" si="73"/>
        <v>0</v>
      </c>
      <c r="R87" s="9">
        <f t="shared" si="73"/>
        <v>0</v>
      </c>
      <c r="S87" s="9">
        <f t="shared" si="73"/>
        <v>0</v>
      </c>
      <c r="T87" s="9">
        <f t="shared" si="73"/>
        <v>0</v>
      </c>
      <c r="U87" s="9">
        <f t="shared" si="73"/>
        <v>0</v>
      </c>
      <c r="V87" s="9">
        <f t="shared" si="73"/>
        <v>0</v>
      </c>
      <c r="W87" s="9">
        <f t="shared" si="73"/>
        <v>0</v>
      </c>
      <c r="X87" s="9">
        <f t="shared" si="73"/>
        <v>0</v>
      </c>
      <c r="Y87" s="9">
        <f t="shared" si="73"/>
        <v>0</v>
      </c>
      <c r="Z87" s="9">
        <f t="shared" si="73"/>
        <v>0</v>
      </c>
      <c r="AA87" s="9">
        <f t="shared" si="73"/>
        <v>0</v>
      </c>
      <c r="AB87" s="40"/>
    </row>
    <row r="88" spans="1:28" ht="45" x14ac:dyDescent="0.25">
      <c r="A88" s="38"/>
      <c r="B88" s="3"/>
      <c r="C88" s="14"/>
      <c r="D88" s="25"/>
      <c r="E88" s="25"/>
      <c r="F88" s="25"/>
      <c r="G88" s="44"/>
      <c r="H88" s="7" t="s">
        <v>8</v>
      </c>
      <c r="I88" s="37">
        <v>15092.421840000001</v>
      </c>
      <c r="J88" s="9">
        <v>0</v>
      </c>
      <c r="K88" s="9">
        <v>0</v>
      </c>
      <c r="L88" s="9">
        <f>J88-K88</f>
        <v>0</v>
      </c>
      <c r="M88" s="37">
        <f>SUM(N88:Q88)</f>
        <v>15092.421840000001</v>
      </c>
      <c r="N88" s="37">
        <v>15092.421840000001</v>
      </c>
      <c r="O88" s="9">
        <v>0</v>
      </c>
      <c r="P88" s="9">
        <v>0</v>
      </c>
      <c r="Q88" s="9">
        <v>0</v>
      </c>
      <c r="R88" s="9">
        <f>SUM(S88:U88)</f>
        <v>0</v>
      </c>
      <c r="S88" s="9">
        <v>0</v>
      </c>
      <c r="T88" s="9">
        <v>0</v>
      </c>
      <c r="U88" s="9">
        <v>0</v>
      </c>
      <c r="V88" s="9">
        <f>SUM(W88:AA88)</f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40"/>
    </row>
    <row r="89" spans="1:28" x14ac:dyDescent="0.25">
      <c r="A89" s="38"/>
      <c r="B89" s="3"/>
      <c r="C89" s="14" t="s">
        <v>56</v>
      </c>
      <c r="D89" s="25">
        <v>2023</v>
      </c>
      <c r="E89" s="25">
        <v>2023</v>
      </c>
      <c r="F89" s="25" t="s">
        <v>162</v>
      </c>
      <c r="G89" s="39">
        <f>I91</f>
        <v>11700</v>
      </c>
      <c r="H89" s="7" t="s">
        <v>5</v>
      </c>
      <c r="I89" s="9">
        <f>I90</f>
        <v>11700</v>
      </c>
      <c r="J89" s="9">
        <v>0</v>
      </c>
      <c r="K89" s="9">
        <v>0</v>
      </c>
      <c r="L89" s="9">
        <v>0</v>
      </c>
      <c r="M89" s="9">
        <f t="shared" ref="M89:AA90" si="74">M90</f>
        <v>11700</v>
      </c>
      <c r="N89" s="9">
        <f t="shared" si="74"/>
        <v>11700</v>
      </c>
      <c r="O89" s="9">
        <f>O90</f>
        <v>0</v>
      </c>
      <c r="P89" s="9">
        <f t="shared" si="74"/>
        <v>0</v>
      </c>
      <c r="Q89" s="9">
        <f t="shared" si="74"/>
        <v>0</v>
      </c>
      <c r="R89" s="9">
        <f t="shared" si="74"/>
        <v>0</v>
      </c>
      <c r="S89" s="9">
        <f t="shared" si="74"/>
        <v>0</v>
      </c>
      <c r="T89" s="9">
        <f t="shared" si="74"/>
        <v>0</v>
      </c>
      <c r="U89" s="9">
        <f t="shared" si="74"/>
        <v>0</v>
      </c>
      <c r="V89" s="9">
        <f t="shared" si="74"/>
        <v>0</v>
      </c>
      <c r="W89" s="9">
        <f t="shared" si="74"/>
        <v>0</v>
      </c>
      <c r="X89" s="9">
        <f t="shared" si="74"/>
        <v>0</v>
      </c>
      <c r="Y89" s="9">
        <f t="shared" si="74"/>
        <v>0</v>
      </c>
      <c r="Z89" s="9">
        <f t="shared" si="74"/>
        <v>0</v>
      </c>
      <c r="AA89" s="9">
        <f t="shared" si="74"/>
        <v>0</v>
      </c>
      <c r="AB89" s="40" t="s">
        <v>7</v>
      </c>
    </row>
    <row r="90" spans="1:28" ht="60" x14ac:dyDescent="0.25">
      <c r="A90" s="38"/>
      <c r="B90" s="3"/>
      <c r="C90" s="14"/>
      <c r="D90" s="25"/>
      <c r="E90" s="25"/>
      <c r="F90" s="25"/>
      <c r="G90" s="39"/>
      <c r="H90" s="7" t="s">
        <v>6</v>
      </c>
      <c r="I90" s="9">
        <f>I91</f>
        <v>11700</v>
      </c>
      <c r="J90" s="9">
        <v>0</v>
      </c>
      <c r="K90" s="9">
        <v>0</v>
      </c>
      <c r="L90" s="9">
        <v>0</v>
      </c>
      <c r="M90" s="9">
        <f t="shared" si="74"/>
        <v>11700</v>
      </c>
      <c r="N90" s="9">
        <f t="shared" si="74"/>
        <v>11700</v>
      </c>
      <c r="O90" s="9">
        <f>O91</f>
        <v>0</v>
      </c>
      <c r="P90" s="9">
        <f t="shared" si="74"/>
        <v>0</v>
      </c>
      <c r="Q90" s="9">
        <f t="shared" si="74"/>
        <v>0</v>
      </c>
      <c r="R90" s="9">
        <f t="shared" si="74"/>
        <v>0</v>
      </c>
      <c r="S90" s="9">
        <f t="shared" si="74"/>
        <v>0</v>
      </c>
      <c r="T90" s="9">
        <f t="shared" si="74"/>
        <v>0</v>
      </c>
      <c r="U90" s="9">
        <f t="shared" si="74"/>
        <v>0</v>
      </c>
      <c r="V90" s="9">
        <f t="shared" si="74"/>
        <v>0</v>
      </c>
      <c r="W90" s="9">
        <f t="shared" si="74"/>
        <v>0</v>
      </c>
      <c r="X90" s="9">
        <f t="shared" si="74"/>
        <v>0</v>
      </c>
      <c r="Y90" s="9">
        <f t="shared" si="74"/>
        <v>0</v>
      </c>
      <c r="Z90" s="9">
        <f t="shared" si="74"/>
        <v>0</v>
      </c>
      <c r="AA90" s="9">
        <f t="shared" si="74"/>
        <v>0</v>
      </c>
      <c r="AB90" s="40"/>
    </row>
    <row r="91" spans="1:28" ht="45" x14ac:dyDescent="0.25">
      <c r="A91" s="38"/>
      <c r="B91" s="4"/>
      <c r="C91" s="14"/>
      <c r="D91" s="25"/>
      <c r="E91" s="25"/>
      <c r="F91" s="25"/>
      <c r="G91" s="39"/>
      <c r="H91" s="7" t="s">
        <v>8</v>
      </c>
      <c r="I91" s="9">
        <v>11700</v>
      </c>
      <c r="J91" s="9">
        <v>0</v>
      </c>
      <c r="K91" s="9">
        <v>0</v>
      </c>
      <c r="L91" s="9">
        <f>J91-K91</f>
        <v>0</v>
      </c>
      <c r="M91" s="9">
        <f>SUM(N91:Q91)</f>
        <v>11700</v>
      </c>
      <c r="N91" s="9">
        <v>11700</v>
      </c>
      <c r="O91" s="9">
        <v>0</v>
      </c>
      <c r="P91" s="9">
        <v>0</v>
      </c>
      <c r="Q91" s="9">
        <v>0</v>
      </c>
      <c r="R91" s="9">
        <f>SUM(S91:U91)</f>
        <v>0</v>
      </c>
      <c r="S91" s="9">
        <v>0</v>
      </c>
      <c r="T91" s="9">
        <v>0</v>
      </c>
      <c r="U91" s="9">
        <v>0</v>
      </c>
      <c r="V91" s="9">
        <f>SUM(W91:AA91)</f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40"/>
    </row>
    <row r="92" spans="1:28" x14ac:dyDescent="0.25">
      <c r="A92" s="38"/>
      <c r="B92" s="2"/>
      <c r="C92" s="14" t="s">
        <v>35</v>
      </c>
      <c r="D92" s="25" t="s">
        <v>104</v>
      </c>
      <c r="E92" s="25">
        <v>2025</v>
      </c>
      <c r="F92" s="25" t="s">
        <v>36</v>
      </c>
      <c r="G92" s="47">
        <f>I94</f>
        <v>250659.7</v>
      </c>
      <c r="H92" s="7" t="s">
        <v>5</v>
      </c>
      <c r="I92" s="42">
        <f t="shared" ref="I92:M93" si="75">I93</f>
        <v>250659.7</v>
      </c>
      <c r="J92" s="9">
        <f t="shared" si="75"/>
        <v>0</v>
      </c>
      <c r="K92" s="9">
        <f t="shared" si="75"/>
        <v>0</v>
      </c>
      <c r="L92" s="9">
        <f t="shared" si="75"/>
        <v>0</v>
      </c>
      <c r="M92" s="42">
        <f t="shared" si="75"/>
        <v>104472.49859</v>
      </c>
      <c r="N92" s="42">
        <f t="shared" ref="N92:AA93" si="76">N93</f>
        <v>104472.49859</v>
      </c>
      <c r="O92" s="9">
        <f>O93</f>
        <v>0</v>
      </c>
      <c r="P92" s="9">
        <f t="shared" si="76"/>
        <v>0</v>
      </c>
      <c r="Q92" s="9">
        <f t="shared" si="76"/>
        <v>0</v>
      </c>
      <c r="R92" s="37">
        <f t="shared" si="76"/>
        <v>5234.8505400000004</v>
      </c>
      <c r="S92" s="37">
        <f t="shared" si="76"/>
        <v>5234.8505400000004</v>
      </c>
      <c r="T92" s="9">
        <f t="shared" si="76"/>
        <v>0</v>
      </c>
      <c r="U92" s="9">
        <f t="shared" si="76"/>
        <v>0</v>
      </c>
      <c r="V92" s="37">
        <f t="shared" si="76"/>
        <v>141597.75589999999</v>
      </c>
      <c r="W92" s="37">
        <f t="shared" si="76"/>
        <v>140952.35186</v>
      </c>
      <c r="X92" s="42">
        <f t="shared" si="76"/>
        <v>645.40404000000001</v>
      </c>
      <c r="Y92" s="9">
        <f t="shared" si="76"/>
        <v>0</v>
      </c>
      <c r="Z92" s="9">
        <f t="shared" si="76"/>
        <v>0</v>
      </c>
      <c r="AA92" s="9">
        <f t="shared" si="76"/>
        <v>0</v>
      </c>
      <c r="AB92" s="40" t="s">
        <v>7</v>
      </c>
    </row>
    <row r="93" spans="1:28" ht="60" x14ac:dyDescent="0.25">
      <c r="A93" s="38"/>
      <c r="B93" s="3"/>
      <c r="C93" s="14"/>
      <c r="D93" s="25"/>
      <c r="E93" s="25"/>
      <c r="F93" s="25"/>
      <c r="G93" s="47"/>
      <c r="H93" s="7" t="s">
        <v>6</v>
      </c>
      <c r="I93" s="42">
        <f t="shared" si="75"/>
        <v>250659.7</v>
      </c>
      <c r="J93" s="9">
        <f t="shared" si="75"/>
        <v>0</v>
      </c>
      <c r="K93" s="9">
        <f t="shared" si="75"/>
        <v>0</v>
      </c>
      <c r="L93" s="9">
        <f t="shared" si="75"/>
        <v>0</v>
      </c>
      <c r="M93" s="42">
        <f t="shared" si="75"/>
        <v>104472.49859</v>
      </c>
      <c r="N93" s="42">
        <f t="shared" si="76"/>
        <v>104472.49859</v>
      </c>
      <c r="O93" s="9">
        <f>O94</f>
        <v>0</v>
      </c>
      <c r="P93" s="9">
        <f t="shared" si="76"/>
        <v>0</v>
      </c>
      <c r="Q93" s="9">
        <f t="shared" si="76"/>
        <v>0</v>
      </c>
      <c r="R93" s="37">
        <f t="shared" si="76"/>
        <v>5234.8505400000004</v>
      </c>
      <c r="S93" s="37">
        <f t="shared" si="76"/>
        <v>5234.8505400000004</v>
      </c>
      <c r="T93" s="9">
        <f t="shared" si="76"/>
        <v>0</v>
      </c>
      <c r="U93" s="9">
        <f t="shared" si="76"/>
        <v>0</v>
      </c>
      <c r="V93" s="37">
        <f t="shared" si="76"/>
        <v>141597.75589999999</v>
      </c>
      <c r="W93" s="37">
        <f t="shared" si="76"/>
        <v>140952.35186</v>
      </c>
      <c r="X93" s="42">
        <f t="shared" si="76"/>
        <v>645.40404000000001</v>
      </c>
      <c r="Y93" s="9">
        <f t="shared" si="76"/>
        <v>0</v>
      </c>
      <c r="Z93" s="9">
        <f t="shared" si="76"/>
        <v>0</v>
      </c>
      <c r="AA93" s="9">
        <f t="shared" si="76"/>
        <v>0</v>
      </c>
      <c r="AB93" s="40"/>
    </row>
    <row r="94" spans="1:28" ht="45" x14ac:dyDescent="0.25">
      <c r="A94" s="33"/>
      <c r="B94" s="4"/>
      <c r="C94" s="14"/>
      <c r="D94" s="25"/>
      <c r="E94" s="25"/>
      <c r="F94" s="25"/>
      <c r="G94" s="47"/>
      <c r="H94" s="7" t="s">
        <v>8</v>
      </c>
      <c r="I94" s="42">
        <v>250659.7</v>
      </c>
      <c r="J94" s="9">
        <v>0</v>
      </c>
      <c r="K94" s="9">
        <v>0</v>
      </c>
      <c r="L94" s="9">
        <f>J94-K94</f>
        <v>0</v>
      </c>
      <c r="M94" s="42">
        <f>SUM(N94:Q94)</f>
        <v>104472.49859</v>
      </c>
      <c r="N94" s="42">
        <v>104472.49859</v>
      </c>
      <c r="O94" s="9">
        <v>0</v>
      </c>
      <c r="P94" s="9">
        <v>0</v>
      </c>
      <c r="Q94" s="9">
        <v>0</v>
      </c>
      <c r="R94" s="37">
        <f>SUM(S94:U94)</f>
        <v>5234.8505400000004</v>
      </c>
      <c r="S94" s="37">
        <f>5234.85054</f>
        <v>5234.8505400000004</v>
      </c>
      <c r="T94" s="9">
        <v>0</v>
      </c>
      <c r="U94" s="9">
        <v>0</v>
      </c>
      <c r="V94" s="37">
        <f>SUM(W94:AA94)</f>
        <v>141597.75589999999</v>
      </c>
      <c r="W94" s="37">
        <f>140952.35186</f>
        <v>140952.35186</v>
      </c>
      <c r="X94" s="78">
        <v>645.40404000000001</v>
      </c>
      <c r="Y94" s="41">
        <v>0</v>
      </c>
      <c r="Z94" s="41">
        <v>0</v>
      </c>
      <c r="AA94" s="41">
        <v>0</v>
      </c>
      <c r="AB94" s="40"/>
    </row>
    <row r="95" spans="1:28" ht="150" x14ac:dyDescent="0.25">
      <c r="A95" s="36" t="s">
        <v>34</v>
      </c>
      <c r="B95" s="2" t="s">
        <v>101</v>
      </c>
      <c r="C95" s="14"/>
      <c r="D95" s="25" t="s">
        <v>4</v>
      </c>
      <c r="E95" s="25" t="s">
        <v>4</v>
      </c>
      <c r="F95" s="25" t="s">
        <v>4</v>
      </c>
      <c r="G95" s="25" t="s">
        <v>4</v>
      </c>
      <c r="H95" s="7" t="s">
        <v>5</v>
      </c>
      <c r="I95" s="37">
        <f t="shared" ref="I95:L96" si="77">I96</f>
        <v>575793.74437000009</v>
      </c>
      <c r="J95" s="37">
        <f t="shared" si="77"/>
        <v>168572.21</v>
      </c>
      <c r="K95" s="37">
        <f t="shared" si="77"/>
        <v>168572.21</v>
      </c>
      <c r="L95" s="9">
        <f t="shared" si="77"/>
        <v>0</v>
      </c>
      <c r="M95" s="37">
        <f t="shared" ref="M95:AA96" si="78">M96</f>
        <v>410097.21537999995</v>
      </c>
      <c r="N95" s="37">
        <f t="shared" si="78"/>
        <v>410097.21537999995</v>
      </c>
      <c r="O95" s="9">
        <f>O96</f>
        <v>0</v>
      </c>
      <c r="P95" s="9">
        <f t="shared" si="78"/>
        <v>0</v>
      </c>
      <c r="Q95" s="9">
        <f t="shared" si="78"/>
        <v>0</v>
      </c>
      <c r="R95" s="9">
        <f t="shared" si="78"/>
        <v>0</v>
      </c>
      <c r="S95" s="9">
        <f t="shared" si="78"/>
        <v>0</v>
      </c>
      <c r="T95" s="9">
        <f t="shared" si="78"/>
        <v>0</v>
      </c>
      <c r="U95" s="9">
        <f t="shared" si="78"/>
        <v>0</v>
      </c>
      <c r="V95" s="9">
        <f t="shared" si="78"/>
        <v>0</v>
      </c>
      <c r="W95" s="9">
        <f t="shared" si="78"/>
        <v>0</v>
      </c>
      <c r="X95" s="9">
        <f t="shared" si="78"/>
        <v>0</v>
      </c>
      <c r="Y95" s="9">
        <f t="shared" si="78"/>
        <v>0</v>
      </c>
      <c r="Z95" s="9">
        <f t="shared" si="78"/>
        <v>0</v>
      </c>
      <c r="AA95" s="9">
        <f t="shared" si="78"/>
        <v>0</v>
      </c>
      <c r="AB95" s="29" t="s">
        <v>4</v>
      </c>
    </row>
    <row r="96" spans="1:28" ht="60" x14ac:dyDescent="0.25">
      <c r="A96" s="38"/>
      <c r="B96" s="3"/>
      <c r="C96" s="14"/>
      <c r="D96" s="25"/>
      <c r="E96" s="25"/>
      <c r="F96" s="25"/>
      <c r="G96" s="25"/>
      <c r="H96" s="7" t="s">
        <v>6</v>
      </c>
      <c r="I96" s="37">
        <f t="shared" si="77"/>
        <v>575793.74437000009</v>
      </c>
      <c r="J96" s="37">
        <f t="shared" si="77"/>
        <v>168572.21</v>
      </c>
      <c r="K96" s="37">
        <f t="shared" si="77"/>
        <v>168572.21</v>
      </c>
      <c r="L96" s="9">
        <f t="shared" si="77"/>
        <v>0</v>
      </c>
      <c r="M96" s="37">
        <f t="shared" si="78"/>
        <v>410097.21537999995</v>
      </c>
      <c r="N96" s="37">
        <f t="shared" si="78"/>
        <v>410097.21537999995</v>
      </c>
      <c r="O96" s="9">
        <f>O97</f>
        <v>0</v>
      </c>
      <c r="P96" s="9">
        <f t="shared" si="78"/>
        <v>0</v>
      </c>
      <c r="Q96" s="9">
        <f t="shared" si="78"/>
        <v>0</v>
      </c>
      <c r="R96" s="9">
        <f t="shared" si="78"/>
        <v>0</v>
      </c>
      <c r="S96" s="9">
        <f t="shared" si="78"/>
        <v>0</v>
      </c>
      <c r="T96" s="9">
        <f t="shared" si="78"/>
        <v>0</v>
      </c>
      <c r="U96" s="9">
        <f t="shared" si="78"/>
        <v>0</v>
      </c>
      <c r="V96" s="9">
        <f t="shared" si="78"/>
        <v>0</v>
      </c>
      <c r="W96" s="9">
        <f t="shared" si="78"/>
        <v>0</v>
      </c>
      <c r="X96" s="9">
        <f t="shared" si="78"/>
        <v>0</v>
      </c>
      <c r="Y96" s="9">
        <f t="shared" si="78"/>
        <v>0</v>
      </c>
      <c r="Z96" s="9">
        <f t="shared" si="78"/>
        <v>0</v>
      </c>
      <c r="AA96" s="9">
        <f t="shared" si="78"/>
        <v>0</v>
      </c>
      <c r="AB96" s="29"/>
    </row>
    <row r="97" spans="1:28" ht="45" x14ac:dyDescent="0.25">
      <c r="A97" s="38"/>
      <c r="B97" s="3"/>
      <c r="C97" s="14"/>
      <c r="D97" s="25"/>
      <c r="E97" s="25"/>
      <c r="F97" s="25"/>
      <c r="G97" s="25"/>
      <c r="H97" s="7" t="s">
        <v>8</v>
      </c>
      <c r="I97" s="37">
        <f>I100+I103</f>
        <v>575793.74437000009</v>
      </c>
      <c r="J97" s="37">
        <f t="shared" ref="J97:W97" si="79">J100+J103</f>
        <v>168572.21</v>
      </c>
      <c r="K97" s="37">
        <f t="shared" si="79"/>
        <v>168572.21</v>
      </c>
      <c r="L97" s="9">
        <f t="shared" si="79"/>
        <v>0</v>
      </c>
      <c r="M97" s="42">
        <f>SUM(N97:Q97)</f>
        <v>410097.21537999995</v>
      </c>
      <c r="N97" s="37">
        <f t="shared" si="79"/>
        <v>410097.21537999995</v>
      </c>
      <c r="O97" s="9">
        <f t="shared" si="79"/>
        <v>0</v>
      </c>
      <c r="P97" s="9">
        <f t="shared" si="79"/>
        <v>0</v>
      </c>
      <c r="Q97" s="9">
        <f t="shared" si="79"/>
        <v>0</v>
      </c>
      <c r="R97" s="9">
        <f>SUM(S97:U97)</f>
        <v>0</v>
      </c>
      <c r="S97" s="9">
        <f>S100+S103</f>
        <v>0</v>
      </c>
      <c r="T97" s="9">
        <f t="shared" si="79"/>
        <v>0</v>
      </c>
      <c r="U97" s="9">
        <f t="shared" si="79"/>
        <v>0</v>
      </c>
      <c r="V97" s="9">
        <f>SUM(W97:AA97)</f>
        <v>0</v>
      </c>
      <c r="W97" s="9">
        <f t="shared" si="79"/>
        <v>0</v>
      </c>
      <c r="X97" s="9">
        <f t="shared" ref="X97:AA97" si="80">X100+X103</f>
        <v>0</v>
      </c>
      <c r="Y97" s="9">
        <f t="shared" si="80"/>
        <v>0</v>
      </c>
      <c r="Z97" s="9">
        <f t="shared" si="80"/>
        <v>0</v>
      </c>
      <c r="AA97" s="9">
        <f t="shared" si="80"/>
        <v>0</v>
      </c>
      <c r="AB97" s="29"/>
    </row>
    <row r="98" spans="1:28" x14ac:dyDescent="0.25">
      <c r="A98" s="38"/>
      <c r="B98" s="3"/>
      <c r="C98" s="14" t="s">
        <v>73</v>
      </c>
      <c r="D98" s="25" t="s">
        <v>24</v>
      </c>
      <c r="E98" s="25">
        <v>2023</v>
      </c>
      <c r="F98" s="25" t="s">
        <v>161</v>
      </c>
      <c r="G98" s="44">
        <f>I100</f>
        <v>34448.213739999999</v>
      </c>
      <c r="H98" s="7" t="s">
        <v>5</v>
      </c>
      <c r="I98" s="37">
        <f t="shared" ref="I98:L99" si="81">I99</f>
        <v>34448.213739999999</v>
      </c>
      <c r="J98" s="9">
        <f t="shared" si="81"/>
        <v>28000</v>
      </c>
      <c r="K98" s="9">
        <f t="shared" si="81"/>
        <v>28000</v>
      </c>
      <c r="L98" s="9">
        <f t="shared" si="81"/>
        <v>0</v>
      </c>
      <c r="M98" s="37">
        <f t="shared" ref="M98:AA99" si="82">M99</f>
        <v>6448.2137400000001</v>
      </c>
      <c r="N98" s="37">
        <f t="shared" si="82"/>
        <v>6448.2137400000001</v>
      </c>
      <c r="O98" s="9">
        <f>O99</f>
        <v>0</v>
      </c>
      <c r="P98" s="9">
        <f t="shared" si="82"/>
        <v>0</v>
      </c>
      <c r="Q98" s="9">
        <f t="shared" si="82"/>
        <v>0</v>
      </c>
      <c r="R98" s="9">
        <f t="shared" si="82"/>
        <v>0</v>
      </c>
      <c r="S98" s="9">
        <f t="shared" si="82"/>
        <v>0</v>
      </c>
      <c r="T98" s="9">
        <f t="shared" si="82"/>
        <v>0</v>
      </c>
      <c r="U98" s="9">
        <f t="shared" si="82"/>
        <v>0</v>
      </c>
      <c r="V98" s="9">
        <f t="shared" si="82"/>
        <v>0</v>
      </c>
      <c r="W98" s="9">
        <f t="shared" si="82"/>
        <v>0</v>
      </c>
      <c r="X98" s="9">
        <f t="shared" si="82"/>
        <v>0</v>
      </c>
      <c r="Y98" s="9">
        <f t="shared" si="82"/>
        <v>0</v>
      </c>
      <c r="Z98" s="9">
        <f t="shared" si="82"/>
        <v>0</v>
      </c>
      <c r="AA98" s="9">
        <f t="shared" si="82"/>
        <v>0</v>
      </c>
      <c r="AB98" s="40" t="s">
        <v>9</v>
      </c>
    </row>
    <row r="99" spans="1:28" ht="60" x14ac:dyDescent="0.25">
      <c r="A99" s="38"/>
      <c r="B99" s="3"/>
      <c r="C99" s="14"/>
      <c r="D99" s="25"/>
      <c r="E99" s="25"/>
      <c r="F99" s="25"/>
      <c r="G99" s="44"/>
      <c r="H99" s="7" t="s">
        <v>6</v>
      </c>
      <c r="I99" s="37">
        <f t="shared" si="81"/>
        <v>34448.213739999999</v>
      </c>
      <c r="J99" s="9">
        <f t="shared" si="81"/>
        <v>28000</v>
      </c>
      <c r="K99" s="9">
        <f t="shared" si="81"/>
        <v>28000</v>
      </c>
      <c r="L99" s="9">
        <f t="shared" si="81"/>
        <v>0</v>
      </c>
      <c r="M99" s="37">
        <f t="shared" si="82"/>
        <v>6448.2137400000001</v>
      </c>
      <c r="N99" s="37">
        <f t="shared" si="82"/>
        <v>6448.2137400000001</v>
      </c>
      <c r="O99" s="9">
        <f>O100</f>
        <v>0</v>
      </c>
      <c r="P99" s="9">
        <f t="shared" si="82"/>
        <v>0</v>
      </c>
      <c r="Q99" s="9">
        <f t="shared" si="82"/>
        <v>0</v>
      </c>
      <c r="R99" s="9">
        <f t="shared" si="82"/>
        <v>0</v>
      </c>
      <c r="S99" s="9">
        <f t="shared" si="82"/>
        <v>0</v>
      </c>
      <c r="T99" s="9">
        <f t="shared" si="82"/>
        <v>0</v>
      </c>
      <c r="U99" s="9">
        <f t="shared" si="82"/>
        <v>0</v>
      </c>
      <c r="V99" s="9">
        <f t="shared" si="82"/>
        <v>0</v>
      </c>
      <c r="W99" s="9">
        <f t="shared" si="82"/>
        <v>0</v>
      </c>
      <c r="X99" s="9">
        <f t="shared" si="82"/>
        <v>0</v>
      </c>
      <c r="Y99" s="9">
        <f t="shared" si="82"/>
        <v>0</v>
      </c>
      <c r="Z99" s="9">
        <f t="shared" si="82"/>
        <v>0</v>
      </c>
      <c r="AA99" s="9">
        <f t="shared" si="82"/>
        <v>0</v>
      </c>
      <c r="AB99" s="40"/>
    </row>
    <row r="100" spans="1:28" ht="45" x14ac:dyDescent="0.25">
      <c r="A100" s="38"/>
      <c r="B100" s="3"/>
      <c r="C100" s="14"/>
      <c r="D100" s="25"/>
      <c r="E100" s="25"/>
      <c r="F100" s="25"/>
      <c r="G100" s="44"/>
      <c r="H100" s="7" t="s">
        <v>8</v>
      </c>
      <c r="I100" s="37">
        <v>34448.213739999999</v>
      </c>
      <c r="J100" s="9">
        <v>28000</v>
      </c>
      <c r="K100" s="9">
        <v>28000</v>
      </c>
      <c r="L100" s="9">
        <f>J100-K100</f>
        <v>0</v>
      </c>
      <c r="M100" s="37">
        <f>SUM(N100:Q100)</f>
        <v>6448.2137400000001</v>
      </c>
      <c r="N100" s="37">
        <v>6448.2137400000001</v>
      </c>
      <c r="O100" s="9">
        <v>0</v>
      </c>
      <c r="P100" s="9">
        <v>0</v>
      </c>
      <c r="Q100" s="9">
        <v>0</v>
      </c>
      <c r="R100" s="9">
        <f>SUM(S100:U100)</f>
        <v>0</v>
      </c>
      <c r="S100" s="9">
        <v>0</v>
      </c>
      <c r="T100" s="9">
        <v>0</v>
      </c>
      <c r="U100" s="9">
        <v>0</v>
      </c>
      <c r="V100" s="9">
        <f>SUM(W100:AA100)</f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40"/>
    </row>
    <row r="101" spans="1:28" x14ac:dyDescent="0.25">
      <c r="A101" s="38"/>
      <c r="B101" s="3"/>
      <c r="C101" s="14" t="s">
        <v>74</v>
      </c>
      <c r="D101" s="25" t="s">
        <v>24</v>
      </c>
      <c r="E101" s="25">
        <v>2023</v>
      </c>
      <c r="F101" s="25" t="s">
        <v>45</v>
      </c>
      <c r="G101" s="44">
        <f>I103</f>
        <v>541345.53063000005</v>
      </c>
      <c r="H101" s="7" t="s">
        <v>5</v>
      </c>
      <c r="I101" s="37">
        <f t="shared" ref="I101:L102" si="83">I102</f>
        <v>541345.53063000005</v>
      </c>
      <c r="J101" s="37">
        <f t="shared" si="83"/>
        <v>140572.21</v>
      </c>
      <c r="K101" s="37">
        <f t="shared" si="83"/>
        <v>140572.21</v>
      </c>
      <c r="L101" s="9">
        <f t="shared" si="83"/>
        <v>0</v>
      </c>
      <c r="M101" s="9">
        <f t="shared" ref="M101:AA102" si="84">M102</f>
        <v>403649.00163999997</v>
      </c>
      <c r="N101" s="9">
        <f t="shared" si="84"/>
        <v>403649.00163999997</v>
      </c>
      <c r="O101" s="9">
        <f>O102</f>
        <v>0</v>
      </c>
      <c r="P101" s="9">
        <f t="shared" si="84"/>
        <v>0</v>
      </c>
      <c r="Q101" s="9">
        <f t="shared" si="84"/>
        <v>0</v>
      </c>
      <c r="R101" s="9">
        <f t="shared" si="84"/>
        <v>0</v>
      </c>
      <c r="S101" s="9">
        <f t="shared" si="84"/>
        <v>0</v>
      </c>
      <c r="T101" s="9">
        <f t="shared" si="84"/>
        <v>0</v>
      </c>
      <c r="U101" s="9">
        <f t="shared" si="84"/>
        <v>0</v>
      </c>
      <c r="V101" s="9">
        <f t="shared" si="84"/>
        <v>0</v>
      </c>
      <c r="W101" s="9">
        <f t="shared" si="84"/>
        <v>0</v>
      </c>
      <c r="X101" s="9">
        <f t="shared" si="84"/>
        <v>0</v>
      </c>
      <c r="Y101" s="9">
        <f t="shared" si="84"/>
        <v>0</v>
      </c>
      <c r="Z101" s="9">
        <f t="shared" si="84"/>
        <v>0</v>
      </c>
      <c r="AA101" s="9">
        <f t="shared" si="84"/>
        <v>0</v>
      </c>
      <c r="AB101" s="40" t="s">
        <v>9</v>
      </c>
    </row>
    <row r="102" spans="1:28" ht="60" x14ac:dyDescent="0.25">
      <c r="A102" s="38"/>
      <c r="B102" s="3"/>
      <c r="C102" s="14"/>
      <c r="D102" s="25"/>
      <c r="E102" s="25"/>
      <c r="F102" s="25"/>
      <c r="G102" s="44"/>
      <c r="H102" s="7" t="s">
        <v>6</v>
      </c>
      <c r="I102" s="37">
        <f t="shared" si="83"/>
        <v>541345.53063000005</v>
      </c>
      <c r="J102" s="37">
        <f t="shared" si="83"/>
        <v>140572.21</v>
      </c>
      <c r="K102" s="37">
        <f t="shared" si="83"/>
        <v>140572.21</v>
      </c>
      <c r="L102" s="9">
        <f t="shared" si="83"/>
        <v>0</v>
      </c>
      <c r="M102" s="9">
        <f t="shared" si="84"/>
        <v>403649.00163999997</v>
      </c>
      <c r="N102" s="9">
        <f t="shared" si="84"/>
        <v>403649.00163999997</v>
      </c>
      <c r="O102" s="9">
        <f>O103</f>
        <v>0</v>
      </c>
      <c r="P102" s="9">
        <f t="shared" si="84"/>
        <v>0</v>
      </c>
      <c r="Q102" s="9">
        <f t="shared" si="84"/>
        <v>0</v>
      </c>
      <c r="R102" s="9">
        <f t="shared" si="84"/>
        <v>0</v>
      </c>
      <c r="S102" s="9">
        <f t="shared" si="84"/>
        <v>0</v>
      </c>
      <c r="T102" s="9">
        <f t="shared" si="84"/>
        <v>0</v>
      </c>
      <c r="U102" s="9">
        <f t="shared" si="84"/>
        <v>0</v>
      </c>
      <c r="V102" s="9">
        <f t="shared" si="84"/>
        <v>0</v>
      </c>
      <c r="W102" s="9">
        <f t="shared" si="84"/>
        <v>0</v>
      </c>
      <c r="X102" s="9">
        <f t="shared" si="84"/>
        <v>0</v>
      </c>
      <c r="Y102" s="9">
        <f t="shared" si="84"/>
        <v>0</v>
      </c>
      <c r="Z102" s="9">
        <f t="shared" si="84"/>
        <v>0</v>
      </c>
      <c r="AA102" s="9">
        <f t="shared" si="84"/>
        <v>0</v>
      </c>
      <c r="AB102" s="40"/>
    </row>
    <row r="103" spans="1:28" ht="45" x14ac:dyDescent="0.25">
      <c r="A103" s="33"/>
      <c r="B103" s="3"/>
      <c r="C103" s="14"/>
      <c r="D103" s="25"/>
      <c r="E103" s="25"/>
      <c r="F103" s="25"/>
      <c r="G103" s="44"/>
      <c r="H103" s="7" t="s">
        <v>8</v>
      </c>
      <c r="I103" s="37">
        <f>544221.21164-2875.68101</f>
        <v>541345.53063000005</v>
      </c>
      <c r="J103" s="37">
        <v>140572.21</v>
      </c>
      <c r="K103" s="37">
        <v>140572.21</v>
      </c>
      <c r="L103" s="9">
        <f>J103-K103</f>
        <v>0</v>
      </c>
      <c r="M103" s="9">
        <f>SUM(N103:Q103)</f>
        <v>403649.00163999997</v>
      </c>
      <c r="N103" s="9">
        <v>403649.00163999997</v>
      </c>
      <c r="O103" s="9">
        <v>0</v>
      </c>
      <c r="P103" s="9">
        <v>0</v>
      </c>
      <c r="Q103" s="9">
        <v>0</v>
      </c>
      <c r="R103" s="9">
        <f>SUM(S103:U103)</f>
        <v>0</v>
      </c>
      <c r="S103" s="9">
        <v>0</v>
      </c>
      <c r="T103" s="9">
        <v>0</v>
      </c>
      <c r="U103" s="9">
        <v>0</v>
      </c>
      <c r="V103" s="9">
        <f>SUM(W103:AA103)</f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40"/>
    </row>
    <row r="104" spans="1:28" ht="240" x14ac:dyDescent="0.25">
      <c r="A104" s="36" t="s">
        <v>37</v>
      </c>
      <c r="B104" s="2" t="s">
        <v>53</v>
      </c>
      <c r="C104" s="2"/>
      <c r="D104" s="51" t="s">
        <v>4</v>
      </c>
      <c r="E104" s="51" t="s">
        <v>4</v>
      </c>
      <c r="F104" s="51" t="s">
        <v>4</v>
      </c>
      <c r="G104" s="51" t="s">
        <v>4</v>
      </c>
      <c r="H104" s="7" t="s">
        <v>5</v>
      </c>
      <c r="I104" s="42">
        <f t="shared" ref="I104:L105" si="85">I105</f>
        <v>465490.63949000003</v>
      </c>
      <c r="J104" s="37">
        <f t="shared" si="85"/>
        <v>56220.639999999999</v>
      </c>
      <c r="K104" s="37">
        <f t="shared" si="85"/>
        <v>51489.092210000003</v>
      </c>
      <c r="L104" s="37">
        <f t="shared" si="85"/>
        <v>4731.5477900000005</v>
      </c>
      <c r="M104" s="37">
        <f t="shared" ref="M104:AA107" si="86">M105</f>
        <v>61522.924820000007</v>
      </c>
      <c r="N104" s="37">
        <f t="shared" si="86"/>
        <v>56791.377030000003</v>
      </c>
      <c r="O104" s="37">
        <f>O105</f>
        <v>3631.2398199999998</v>
      </c>
      <c r="P104" s="37">
        <f t="shared" si="86"/>
        <v>1100.3079700000001</v>
      </c>
      <c r="Q104" s="9">
        <f t="shared" si="86"/>
        <v>0</v>
      </c>
      <c r="R104" s="37">
        <f t="shared" si="86"/>
        <v>155378.46671000001</v>
      </c>
      <c r="S104" s="37">
        <f t="shared" si="86"/>
        <v>154156.18528000001</v>
      </c>
      <c r="T104" s="37">
        <f t="shared" si="86"/>
        <v>519.80990999999995</v>
      </c>
      <c r="U104" s="37">
        <f t="shared" si="86"/>
        <v>702.4715199999996</v>
      </c>
      <c r="V104" s="37">
        <f t="shared" si="86"/>
        <v>301992.17000000004</v>
      </c>
      <c r="W104" s="37">
        <f t="shared" si="86"/>
        <v>201251.20548000003</v>
      </c>
      <c r="X104" s="9">
        <f t="shared" si="86"/>
        <v>0</v>
      </c>
      <c r="Y104" s="9">
        <f t="shared" si="86"/>
        <v>0</v>
      </c>
      <c r="Z104" s="37">
        <f t="shared" si="86"/>
        <v>100740.96452000001</v>
      </c>
      <c r="AA104" s="9">
        <f t="shared" si="86"/>
        <v>0</v>
      </c>
      <c r="AB104" s="54" t="s">
        <v>4</v>
      </c>
    </row>
    <row r="105" spans="1:28" ht="60" x14ac:dyDescent="0.25">
      <c r="A105" s="33"/>
      <c r="B105" s="4"/>
      <c r="C105" s="4"/>
      <c r="D105" s="55"/>
      <c r="E105" s="55"/>
      <c r="F105" s="55"/>
      <c r="G105" s="55"/>
      <c r="H105" s="7" t="s">
        <v>6</v>
      </c>
      <c r="I105" s="42">
        <f t="shared" si="85"/>
        <v>465490.63949000003</v>
      </c>
      <c r="J105" s="37">
        <f t="shared" si="85"/>
        <v>56220.639999999999</v>
      </c>
      <c r="K105" s="37">
        <f t="shared" si="85"/>
        <v>51489.092210000003</v>
      </c>
      <c r="L105" s="37">
        <f t="shared" si="85"/>
        <v>4731.5477900000005</v>
      </c>
      <c r="M105" s="37">
        <f t="shared" si="86"/>
        <v>61522.924820000007</v>
      </c>
      <c r="N105" s="37">
        <f t="shared" si="86"/>
        <v>56791.377030000003</v>
      </c>
      <c r="O105" s="37">
        <f>O106</f>
        <v>3631.2398199999998</v>
      </c>
      <c r="P105" s="37">
        <f t="shared" si="86"/>
        <v>1100.3079700000001</v>
      </c>
      <c r="Q105" s="9">
        <f t="shared" si="86"/>
        <v>0</v>
      </c>
      <c r="R105" s="37">
        <f t="shared" si="86"/>
        <v>155378.46671000001</v>
      </c>
      <c r="S105" s="37">
        <f t="shared" si="86"/>
        <v>154156.18528000001</v>
      </c>
      <c r="T105" s="37">
        <f t="shared" si="86"/>
        <v>519.80990999999995</v>
      </c>
      <c r="U105" s="37">
        <f t="shared" si="86"/>
        <v>702.4715199999996</v>
      </c>
      <c r="V105" s="37">
        <f t="shared" si="86"/>
        <v>301992.17000000004</v>
      </c>
      <c r="W105" s="37">
        <f t="shared" si="86"/>
        <v>201251.20548000003</v>
      </c>
      <c r="X105" s="9">
        <f t="shared" si="86"/>
        <v>0</v>
      </c>
      <c r="Y105" s="9">
        <f t="shared" si="86"/>
        <v>0</v>
      </c>
      <c r="Z105" s="37">
        <f t="shared" si="86"/>
        <v>100740.96452000001</v>
      </c>
      <c r="AA105" s="9">
        <f t="shared" si="86"/>
        <v>0</v>
      </c>
      <c r="AB105" s="56"/>
    </row>
    <row r="106" spans="1:28" ht="45" x14ac:dyDescent="0.25">
      <c r="A106" s="38"/>
      <c r="B106" s="2"/>
      <c r="C106" s="7"/>
      <c r="D106" s="31"/>
      <c r="E106" s="31"/>
      <c r="F106" s="31"/>
      <c r="G106" s="31"/>
      <c r="H106" s="7" t="s">
        <v>8</v>
      </c>
      <c r="I106" s="42">
        <f>I109+I112+I115+I118+I121</f>
        <v>465490.63949000003</v>
      </c>
      <c r="J106" s="42">
        <f t="shared" ref="J106:L106" si="87">J109+J112+J115+J118+J121</f>
        <v>56220.639999999999</v>
      </c>
      <c r="K106" s="37">
        <f t="shared" si="87"/>
        <v>51489.092210000003</v>
      </c>
      <c r="L106" s="37">
        <f t="shared" si="87"/>
        <v>4731.5477900000005</v>
      </c>
      <c r="M106" s="37">
        <f>SUM(N106:Q106)</f>
        <v>61522.924820000007</v>
      </c>
      <c r="N106" s="37">
        <f>N109+N112+N115+N118+N121</f>
        <v>56791.377030000003</v>
      </c>
      <c r="O106" s="37">
        <f t="shared" ref="O106:Q106" si="88">O109+O112+O115+O118+O121</f>
        <v>3631.2398199999998</v>
      </c>
      <c r="P106" s="37">
        <f t="shared" si="88"/>
        <v>1100.3079700000001</v>
      </c>
      <c r="Q106" s="37">
        <f t="shared" si="88"/>
        <v>0</v>
      </c>
      <c r="R106" s="37">
        <f>SUM(S106:U106)</f>
        <v>155378.46671000001</v>
      </c>
      <c r="S106" s="37">
        <f>S109+S112+S115+S118+S121</f>
        <v>154156.18528000001</v>
      </c>
      <c r="T106" s="37">
        <f t="shared" ref="T106:W106" si="89">T109+T112+T115+T118+T121</f>
        <v>519.80990999999995</v>
      </c>
      <c r="U106" s="37">
        <f t="shared" si="89"/>
        <v>702.4715199999996</v>
      </c>
      <c r="V106" s="37">
        <f>SUM(W106:AA106)</f>
        <v>301992.17000000004</v>
      </c>
      <c r="W106" s="37">
        <f t="shared" si="89"/>
        <v>201251.20548000003</v>
      </c>
      <c r="X106" s="9">
        <f t="shared" ref="X106:AA106" si="90">X109+X112+X115+X118+X121</f>
        <v>0</v>
      </c>
      <c r="Y106" s="9">
        <f t="shared" si="90"/>
        <v>0</v>
      </c>
      <c r="Z106" s="37">
        <f t="shared" si="90"/>
        <v>100740.96452000001</v>
      </c>
      <c r="AA106" s="9">
        <f t="shared" si="90"/>
        <v>0</v>
      </c>
      <c r="AB106" s="57"/>
    </row>
    <row r="107" spans="1:28" x14ac:dyDescent="0.25">
      <c r="A107" s="38"/>
      <c r="B107" s="3"/>
      <c r="C107" s="14" t="s">
        <v>72</v>
      </c>
      <c r="D107" s="25">
        <v>2022</v>
      </c>
      <c r="E107" s="25">
        <v>2023</v>
      </c>
      <c r="F107" s="25" t="s">
        <v>160</v>
      </c>
      <c r="G107" s="44">
        <f>I109</f>
        <v>25751.982029999999</v>
      </c>
      <c r="H107" s="7" t="s">
        <v>5</v>
      </c>
      <c r="I107" s="37">
        <f t="shared" ref="I107:L108" si="91">I108</f>
        <v>25751.982029999999</v>
      </c>
      <c r="J107" s="37">
        <f t="shared" si="91"/>
        <v>26852.29</v>
      </c>
      <c r="K107" s="37">
        <f t="shared" si="91"/>
        <v>25751.982029999999</v>
      </c>
      <c r="L107" s="37">
        <f t="shared" si="91"/>
        <v>1100.3079700000017</v>
      </c>
      <c r="M107" s="9">
        <f t="shared" ref="M107:AA117" si="92">M108</f>
        <v>0</v>
      </c>
      <c r="N107" s="37">
        <f t="shared" si="92"/>
        <v>-1100.3079700000001</v>
      </c>
      <c r="O107" s="9">
        <f>O108</f>
        <v>0</v>
      </c>
      <c r="P107" s="37">
        <f t="shared" si="92"/>
        <v>1100.3079700000001</v>
      </c>
      <c r="Q107" s="9">
        <f t="shared" si="92"/>
        <v>0</v>
      </c>
      <c r="R107" s="9">
        <f t="shared" si="92"/>
        <v>0</v>
      </c>
      <c r="S107" s="9">
        <f t="shared" si="92"/>
        <v>0</v>
      </c>
      <c r="T107" s="9">
        <f t="shared" si="92"/>
        <v>0</v>
      </c>
      <c r="U107" s="9">
        <f t="shared" si="92"/>
        <v>0</v>
      </c>
      <c r="V107" s="9">
        <f t="shared" si="86"/>
        <v>0</v>
      </c>
      <c r="W107" s="9">
        <f t="shared" si="92"/>
        <v>0</v>
      </c>
      <c r="X107" s="9">
        <f t="shared" si="92"/>
        <v>0</v>
      </c>
      <c r="Y107" s="9">
        <f t="shared" si="92"/>
        <v>0</v>
      </c>
      <c r="Z107" s="9">
        <f t="shared" si="92"/>
        <v>0</v>
      </c>
      <c r="AA107" s="9">
        <f t="shared" si="92"/>
        <v>0</v>
      </c>
      <c r="AB107" s="40" t="s">
        <v>9</v>
      </c>
    </row>
    <row r="108" spans="1:28" ht="60" x14ac:dyDescent="0.25">
      <c r="A108" s="38"/>
      <c r="B108" s="3"/>
      <c r="C108" s="14"/>
      <c r="D108" s="25"/>
      <c r="E108" s="25"/>
      <c r="F108" s="25"/>
      <c r="G108" s="44"/>
      <c r="H108" s="7" t="s">
        <v>6</v>
      </c>
      <c r="I108" s="37">
        <f t="shared" si="91"/>
        <v>25751.982029999999</v>
      </c>
      <c r="J108" s="37">
        <f t="shared" si="91"/>
        <v>26852.29</v>
      </c>
      <c r="K108" s="37">
        <f t="shared" si="91"/>
        <v>25751.982029999999</v>
      </c>
      <c r="L108" s="37">
        <f t="shared" si="91"/>
        <v>1100.3079700000017</v>
      </c>
      <c r="M108" s="9">
        <f t="shared" si="92"/>
        <v>0</v>
      </c>
      <c r="N108" s="37">
        <f t="shared" si="92"/>
        <v>-1100.3079700000001</v>
      </c>
      <c r="O108" s="9">
        <f>O109</f>
        <v>0</v>
      </c>
      <c r="P108" s="37">
        <f t="shared" si="92"/>
        <v>1100.3079700000001</v>
      </c>
      <c r="Q108" s="9">
        <f t="shared" si="92"/>
        <v>0</v>
      </c>
      <c r="R108" s="9">
        <f t="shared" si="92"/>
        <v>0</v>
      </c>
      <c r="S108" s="9">
        <f t="shared" si="92"/>
        <v>0</v>
      </c>
      <c r="T108" s="9">
        <f t="shared" si="92"/>
        <v>0</v>
      </c>
      <c r="U108" s="9">
        <f t="shared" si="92"/>
        <v>0</v>
      </c>
      <c r="V108" s="9">
        <f t="shared" si="92"/>
        <v>0</v>
      </c>
      <c r="W108" s="9">
        <f t="shared" si="92"/>
        <v>0</v>
      </c>
      <c r="X108" s="9">
        <f t="shared" si="92"/>
        <v>0</v>
      </c>
      <c r="Y108" s="9">
        <f t="shared" si="92"/>
        <v>0</v>
      </c>
      <c r="Z108" s="9">
        <f t="shared" si="92"/>
        <v>0</v>
      </c>
      <c r="AA108" s="9">
        <f t="shared" si="92"/>
        <v>0</v>
      </c>
      <c r="AB108" s="40"/>
    </row>
    <row r="109" spans="1:28" ht="45" x14ac:dyDescent="0.25">
      <c r="A109" s="38"/>
      <c r="B109" s="3"/>
      <c r="C109" s="14"/>
      <c r="D109" s="25"/>
      <c r="E109" s="25"/>
      <c r="F109" s="25"/>
      <c r="G109" s="44"/>
      <c r="H109" s="7" t="s">
        <v>8</v>
      </c>
      <c r="I109" s="37">
        <v>25751.982029999999</v>
      </c>
      <c r="J109" s="37">
        <v>26852.29</v>
      </c>
      <c r="K109" s="37">
        <v>25751.982029999999</v>
      </c>
      <c r="L109" s="37">
        <f>J109-K109</f>
        <v>1100.3079700000017</v>
      </c>
      <c r="M109" s="9">
        <f>SUM(N109:Q109)</f>
        <v>0</v>
      </c>
      <c r="N109" s="37">
        <v>-1100.3079700000001</v>
      </c>
      <c r="O109" s="9">
        <v>0</v>
      </c>
      <c r="P109" s="37">
        <v>1100.3079700000001</v>
      </c>
      <c r="Q109" s="9">
        <v>0</v>
      </c>
      <c r="R109" s="9">
        <f>SUM(S109:U109)</f>
        <v>0</v>
      </c>
      <c r="S109" s="9">
        <v>0</v>
      </c>
      <c r="T109" s="9">
        <v>0</v>
      </c>
      <c r="U109" s="9">
        <v>0</v>
      </c>
      <c r="V109" s="9">
        <f>SUM(W109:AA109)</f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40"/>
    </row>
    <row r="110" spans="1:28" x14ac:dyDescent="0.25">
      <c r="A110" s="38"/>
      <c r="B110" s="3"/>
      <c r="C110" s="14" t="s">
        <v>102</v>
      </c>
      <c r="D110" s="25">
        <v>2022</v>
      </c>
      <c r="E110" s="25">
        <v>2023</v>
      </c>
      <c r="F110" s="25" t="s">
        <v>159</v>
      </c>
      <c r="G110" s="44">
        <f>I112</f>
        <v>26439.581699999999</v>
      </c>
      <c r="H110" s="7" t="s">
        <v>5</v>
      </c>
      <c r="I110" s="37">
        <f t="shared" ref="I110:N111" si="93">I111</f>
        <v>26439.581699999999</v>
      </c>
      <c r="J110" s="37">
        <f t="shared" si="93"/>
        <v>29368.35</v>
      </c>
      <c r="K110" s="37">
        <f t="shared" si="93"/>
        <v>25737.11018</v>
      </c>
      <c r="L110" s="37">
        <f t="shared" si="93"/>
        <v>3631.2398199999989</v>
      </c>
      <c r="M110" s="37">
        <f t="shared" si="93"/>
        <v>3631.2398199999998</v>
      </c>
      <c r="N110" s="9">
        <f t="shared" si="93"/>
        <v>0</v>
      </c>
      <c r="O110" s="37">
        <f>O111</f>
        <v>3631.2398199999998</v>
      </c>
      <c r="P110" s="9">
        <v>0</v>
      </c>
      <c r="Q110" s="9">
        <f t="shared" ref="Q110:AA111" si="94">Q111</f>
        <v>0</v>
      </c>
      <c r="R110" s="37">
        <f t="shared" si="94"/>
        <v>702.4715199999996</v>
      </c>
      <c r="S110" s="9">
        <f t="shared" si="94"/>
        <v>0</v>
      </c>
      <c r="T110" s="9">
        <f t="shared" si="94"/>
        <v>0</v>
      </c>
      <c r="U110" s="37">
        <f t="shared" si="94"/>
        <v>702.4715199999996</v>
      </c>
      <c r="V110" s="9">
        <f t="shared" si="94"/>
        <v>0</v>
      </c>
      <c r="W110" s="9">
        <f t="shared" si="94"/>
        <v>0</v>
      </c>
      <c r="X110" s="9">
        <f t="shared" si="94"/>
        <v>0</v>
      </c>
      <c r="Y110" s="9">
        <f t="shared" si="94"/>
        <v>0</v>
      </c>
      <c r="Z110" s="9">
        <f t="shared" si="94"/>
        <v>0</v>
      </c>
      <c r="AA110" s="9">
        <f t="shared" si="94"/>
        <v>0</v>
      </c>
      <c r="AB110" s="58" t="s">
        <v>9</v>
      </c>
    </row>
    <row r="111" spans="1:28" ht="60" x14ac:dyDescent="0.25">
      <c r="A111" s="38"/>
      <c r="B111" s="3"/>
      <c r="C111" s="14"/>
      <c r="D111" s="25"/>
      <c r="E111" s="25"/>
      <c r="F111" s="25"/>
      <c r="G111" s="44"/>
      <c r="H111" s="7" t="s">
        <v>6</v>
      </c>
      <c r="I111" s="37">
        <f t="shared" si="93"/>
        <v>26439.581699999999</v>
      </c>
      <c r="J111" s="37">
        <f t="shared" si="93"/>
        <v>29368.35</v>
      </c>
      <c r="K111" s="37">
        <f t="shared" si="93"/>
        <v>25737.11018</v>
      </c>
      <c r="L111" s="37">
        <f t="shared" si="93"/>
        <v>3631.2398199999989</v>
      </c>
      <c r="M111" s="37">
        <f t="shared" si="93"/>
        <v>3631.2398199999998</v>
      </c>
      <c r="N111" s="9">
        <f t="shared" si="93"/>
        <v>0</v>
      </c>
      <c r="O111" s="37">
        <f>O112</f>
        <v>3631.2398199999998</v>
      </c>
      <c r="P111" s="9">
        <v>0</v>
      </c>
      <c r="Q111" s="9">
        <f t="shared" si="94"/>
        <v>0</v>
      </c>
      <c r="R111" s="37">
        <f t="shared" si="94"/>
        <v>702.4715199999996</v>
      </c>
      <c r="S111" s="9">
        <f t="shared" si="94"/>
        <v>0</v>
      </c>
      <c r="T111" s="9">
        <f t="shared" si="94"/>
        <v>0</v>
      </c>
      <c r="U111" s="37">
        <f t="shared" si="94"/>
        <v>702.4715199999996</v>
      </c>
      <c r="V111" s="9">
        <f t="shared" si="92"/>
        <v>0</v>
      </c>
      <c r="W111" s="9">
        <f t="shared" si="94"/>
        <v>0</v>
      </c>
      <c r="X111" s="9">
        <f t="shared" si="94"/>
        <v>0</v>
      </c>
      <c r="Y111" s="9">
        <f t="shared" si="94"/>
        <v>0</v>
      </c>
      <c r="Z111" s="9">
        <f t="shared" si="94"/>
        <v>0</v>
      </c>
      <c r="AA111" s="9">
        <f t="shared" si="94"/>
        <v>0</v>
      </c>
      <c r="AB111" s="58"/>
    </row>
    <row r="112" spans="1:28" ht="90.75" customHeight="1" x14ac:dyDescent="0.25">
      <c r="A112" s="38"/>
      <c r="B112" s="3"/>
      <c r="C112" s="14"/>
      <c r="D112" s="25"/>
      <c r="E112" s="25"/>
      <c r="F112" s="25"/>
      <c r="G112" s="44"/>
      <c r="H112" s="7" t="s">
        <v>8</v>
      </c>
      <c r="I112" s="37">
        <v>26439.581699999999</v>
      </c>
      <c r="J112" s="37">
        <v>29368.35</v>
      </c>
      <c r="K112" s="37">
        <f>13966.30694+11173.04564+298.87788+298.87788+0.00184</f>
        <v>25737.11018</v>
      </c>
      <c r="L112" s="37">
        <f>J112-K112</f>
        <v>3631.2398199999989</v>
      </c>
      <c r="M112" s="37">
        <f>SUM(N112:Q112)</f>
        <v>3631.2398199999998</v>
      </c>
      <c r="N112" s="9">
        <v>0</v>
      </c>
      <c r="O112" s="37">
        <v>3631.2398199999998</v>
      </c>
      <c r="P112" s="9">
        <v>0</v>
      </c>
      <c r="Q112" s="9">
        <v>0</v>
      </c>
      <c r="R112" s="37">
        <f>SUM(S112:U112)</f>
        <v>702.4715199999996</v>
      </c>
      <c r="S112" s="9">
        <v>0</v>
      </c>
      <c r="T112" s="9">
        <v>0</v>
      </c>
      <c r="U112" s="37">
        <f>3631.23982-2928.7683</f>
        <v>702.4715199999996</v>
      </c>
      <c r="V112" s="9">
        <f>SUM(W112:AA112)</f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58"/>
    </row>
    <row r="113" spans="1:28" x14ac:dyDescent="0.25">
      <c r="A113" s="38"/>
      <c r="B113" s="3"/>
      <c r="C113" s="14" t="s">
        <v>75</v>
      </c>
      <c r="D113" s="25" t="s">
        <v>27</v>
      </c>
      <c r="E113" s="25">
        <v>2024</v>
      </c>
      <c r="F113" s="25" t="s">
        <v>158</v>
      </c>
      <c r="G113" s="44">
        <f>I115</f>
        <v>70367.335380000004</v>
      </c>
      <c r="H113" s="7" t="s">
        <v>5</v>
      </c>
      <c r="I113" s="37">
        <f t="shared" ref="I113:L114" si="95">I114</f>
        <v>70367.335380000004</v>
      </c>
      <c r="J113" s="9">
        <f t="shared" si="95"/>
        <v>0</v>
      </c>
      <c r="K113" s="9">
        <f t="shared" si="95"/>
        <v>0</v>
      </c>
      <c r="L113" s="9">
        <f t="shared" si="95"/>
        <v>0</v>
      </c>
      <c r="M113" s="37">
        <f t="shared" ref="M113:AA114" si="96">M114</f>
        <v>36774.69</v>
      </c>
      <c r="N113" s="37">
        <f t="shared" si="96"/>
        <v>36774.69</v>
      </c>
      <c r="O113" s="9">
        <f>O114</f>
        <v>0</v>
      </c>
      <c r="P113" s="9">
        <f t="shared" si="96"/>
        <v>0</v>
      </c>
      <c r="Q113" s="9">
        <f t="shared" si="96"/>
        <v>0</v>
      </c>
      <c r="R113" s="37">
        <f t="shared" si="96"/>
        <v>33922.820140000003</v>
      </c>
      <c r="S113" s="37">
        <f t="shared" si="96"/>
        <v>33592.645380000002</v>
      </c>
      <c r="T113" s="37">
        <f t="shared" si="96"/>
        <v>330.17475999999999</v>
      </c>
      <c r="U113" s="9">
        <f t="shared" si="96"/>
        <v>0</v>
      </c>
      <c r="V113" s="9">
        <f t="shared" si="96"/>
        <v>0</v>
      </c>
      <c r="W113" s="9">
        <f t="shared" si="96"/>
        <v>0</v>
      </c>
      <c r="X113" s="9">
        <f t="shared" si="96"/>
        <v>0</v>
      </c>
      <c r="Y113" s="9">
        <f t="shared" si="96"/>
        <v>0</v>
      </c>
      <c r="Z113" s="9">
        <f t="shared" si="96"/>
        <v>0</v>
      </c>
      <c r="AA113" s="9">
        <f t="shared" si="96"/>
        <v>0</v>
      </c>
      <c r="AB113" s="58" t="s">
        <v>9</v>
      </c>
    </row>
    <row r="114" spans="1:28" ht="60" x14ac:dyDescent="0.25">
      <c r="A114" s="38"/>
      <c r="B114" s="3"/>
      <c r="C114" s="14"/>
      <c r="D114" s="25"/>
      <c r="E114" s="25"/>
      <c r="F114" s="25"/>
      <c r="G114" s="44"/>
      <c r="H114" s="7" t="s">
        <v>6</v>
      </c>
      <c r="I114" s="37">
        <f t="shared" si="95"/>
        <v>70367.335380000004</v>
      </c>
      <c r="J114" s="9">
        <f t="shared" si="95"/>
        <v>0</v>
      </c>
      <c r="K114" s="9">
        <f t="shared" si="95"/>
        <v>0</v>
      </c>
      <c r="L114" s="9">
        <f t="shared" si="95"/>
        <v>0</v>
      </c>
      <c r="M114" s="37">
        <f t="shared" si="96"/>
        <v>36774.69</v>
      </c>
      <c r="N114" s="37">
        <f t="shared" si="96"/>
        <v>36774.69</v>
      </c>
      <c r="O114" s="9">
        <f>O115</f>
        <v>0</v>
      </c>
      <c r="P114" s="9">
        <f t="shared" si="96"/>
        <v>0</v>
      </c>
      <c r="Q114" s="9">
        <f t="shared" si="96"/>
        <v>0</v>
      </c>
      <c r="R114" s="37">
        <f t="shared" si="96"/>
        <v>33922.820140000003</v>
      </c>
      <c r="S114" s="37">
        <f t="shared" si="96"/>
        <v>33592.645380000002</v>
      </c>
      <c r="T114" s="37">
        <f t="shared" si="96"/>
        <v>330.17475999999999</v>
      </c>
      <c r="U114" s="9">
        <f t="shared" si="96"/>
        <v>0</v>
      </c>
      <c r="V114" s="9">
        <f t="shared" si="92"/>
        <v>0</v>
      </c>
      <c r="W114" s="9">
        <f t="shared" si="96"/>
        <v>0</v>
      </c>
      <c r="X114" s="9">
        <f t="shared" si="96"/>
        <v>0</v>
      </c>
      <c r="Y114" s="9">
        <f t="shared" si="96"/>
        <v>0</v>
      </c>
      <c r="Z114" s="9">
        <f t="shared" si="96"/>
        <v>0</v>
      </c>
      <c r="AA114" s="9">
        <f t="shared" si="96"/>
        <v>0</v>
      </c>
      <c r="AB114" s="58"/>
    </row>
    <row r="115" spans="1:28" ht="45" x14ac:dyDescent="0.25">
      <c r="A115" s="33"/>
      <c r="B115" s="4"/>
      <c r="C115" s="14"/>
      <c r="D115" s="25"/>
      <c r="E115" s="25"/>
      <c r="F115" s="25"/>
      <c r="G115" s="44"/>
      <c r="H115" s="7" t="s">
        <v>8</v>
      </c>
      <c r="I115" s="37">
        <v>70367.335380000004</v>
      </c>
      <c r="J115" s="9">
        <v>0</v>
      </c>
      <c r="K115" s="9">
        <v>0</v>
      </c>
      <c r="L115" s="9">
        <f>J115-K115</f>
        <v>0</v>
      </c>
      <c r="M115" s="37">
        <f>SUM(N115:Q115)</f>
        <v>36774.69</v>
      </c>
      <c r="N115" s="37">
        <v>36774.69</v>
      </c>
      <c r="O115" s="9">
        <v>0</v>
      </c>
      <c r="P115" s="9">
        <v>0</v>
      </c>
      <c r="Q115" s="9">
        <v>0</v>
      </c>
      <c r="R115" s="37">
        <f>SUM(S115:U115)</f>
        <v>33922.820140000003</v>
      </c>
      <c r="S115" s="37">
        <f>36774.69-3182.04462</f>
        <v>33592.645380000002</v>
      </c>
      <c r="T115" s="37">
        <v>330.17475999999999</v>
      </c>
      <c r="U115" s="9">
        <v>0</v>
      </c>
      <c r="V115" s="9">
        <f>SUM(W115:AA115)</f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58"/>
    </row>
    <row r="116" spans="1:28" x14ac:dyDescent="0.25">
      <c r="A116" s="38"/>
      <c r="B116" s="2"/>
      <c r="C116" s="14" t="s">
        <v>100</v>
      </c>
      <c r="D116" s="25" t="s">
        <v>27</v>
      </c>
      <c r="E116" s="25">
        <v>2024</v>
      </c>
      <c r="F116" s="25" t="s">
        <v>157</v>
      </c>
      <c r="G116" s="44">
        <f>I118</f>
        <v>40939.570379999997</v>
      </c>
      <c r="H116" s="7" t="s">
        <v>5</v>
      </c>
      <c r="I116" s="37">
        <f t="shared" ref="I116:L120" si="97">I117</f>
        <v>40939.570379999997</v>
      </c>
      <c r="J116" s="9">
        <f t="shared" si="97"/>
        <v>0</v>
      </c>
      <c r="K116" s="9">
        <f t="shared" si="97"/>
        <v>0</v>
      </c>
      <c r="L116" s="9">
        <f t="shared" si="97"/>
        <v>0</v>
      </c>
      <c r="M116" s="9">
        <f t="shared" ref="M116:AA120" si="98">M117</f>
        <v>21116.994999999999</v>
      </c>
      <c r="N116" s="9">
        <f t="shared" si="98"/>
        <v>21116.994999999999</v>
      </c>
      <c r="O116" s="9">
        <f>O117</f>
        <v>0</v>
      </c>
      <c r="P116" s="9">
        <f t="shared" si="98"/>
        <v>0</v>
      </c>
      <c r="Q116" s="9">
        <f t="shared" si="98"/>
        <v>0</v>
      </c>
      <c r="R116" s="37">
        <f t="shared" si="98"/>
        <v>20012.210529999997</v>
      </c>
      <c r="S116" s="37">
        <f t="shared" si="98"/>
        <v>19822.575379999998</v>
      </c>
      <c r="T116" s="37">
        <f t="shared" si="98"/>
        <v>189.63515000000001</v>
      </c>
      <c r="U116" s="9">
        <f t="shared" si="98"/>
        <v>0</v>
      </c>
      <c r="V116" s="9">
        <f t="shared" si="98"/>
        <v>0</v>
      </c>
      <c r="W116" s="9">
        <f t="shared" si="98"/>
        <v>0</v>
      </c>
      <c r="X116" s="9">
        <f t="shared" si="98"/>
        <v>0</v>
      </c>
      <c r="Y116" s="9">
        <f t="shared" si="98"/>
        <v>0</v>
      </c>
      <c r="Z116" s="9">
        <f t="shared" si="98"/>
        <v>0</v>
      </c>
      <c r="AA116" s="9">
        <f t="shared" si="98"/>
        <v>0</v>
      </c>
      <c r="AB116" s="40" t="s">
        <v>9</v>
      </c>
    </row>
    <row r="117" spans="1:28" ht="60" x14ac:dyDescent="0.25">
      <c r="A117" s="38"/>
      <c r="B117" s="3"/>
      <c r="C117" s="14"/>
      <c r="D117" s="25"/>
      <c r="E117" s="25"/>
      <c r="F117" s="25"/>
      <c r="G117" s="44"/>
      <c r="H117" s="7" t="s">
        <v>6</v>
      </c>
      <c r="I117" s="37">
        <f t="shared" si="97"/>
        <v>40939.570379999997</v>
      </c>
      <c r="J117" s="9">
        <f t="shared" si="97"/>
        <v>0</v>
      </c>
      <c r="K117" s="9">
        <f t="shared" si="97"/>
        <v>0</v>
      </c>
      <c r="L117" s="9">
        <f t="shared" si="97"/>
        <v>0</v>
      </c>
      <c r="M117" s="9">
        <f t="shared" si="98"/>
        <v>21116.994999999999</v>
      </c>
      <c r="N117" s="9">
        <f t="shared" si="98"/>
        <v>21116.994999999999</v>
      </c>
      <c r="O117" s="9">
        <f>O118</f>
        <v>0</v>
      </c>
      <c r="P117" s="9">
        <f t="shared" si="98"/>
        <v>0</v>
      </c>
      <c r="Q117" s="9">
        <f t="shared" si="98"/>
        <v>0</v>
      </c>
      <c r="R117" s="37">
        <f t="shared" si="98"/>
        <v>20012.210529999997</v>
      </c>
      <c r="S117" s="37">
        <f t="shared" si="98"/>
        <v>19822.575379999998</v>
      </c>
      <c r="T117" s="37">
        <f t="shared" si="98"/>
        <v>189.63515000000001</v>
      </c>
      <c r="U117" s="9">
        <f t="shared" si="98"/>
        <v>0</v>
      </c>
      <c r="V117" s="9">
        <f t="shared" si="92"/>
        <v>0</v>
      </c>
      <c r="W117" s="9">
        <f t="shared" si="98"/>
        <v>0</v>
      </c>
      <c r="X117" s="9">
        <f t="shared" si="98"/>
        <v>0</v>
      </c>
      <c r="Y117" s="9">
        <f t="shared" si="98"/>
        <v>0</v>
      </c>
      <c r="Z117" s="9">
        <f t="shared" si="98"/>
        <v>0</v>
      </c>
      <c r="AA117" s="9">
        <f t="shared" si="98"/>
        <v>0</v>
      </c>
      <c r="AB117" s="40"/>
    </row>
    <row r="118" spans="1:28" ht="45" x14ac:dyDescent="0.25">
      <c r="A118" s="38"/>
      <c r="B118" s="6"/>
      <c r="C118" s="14"/>
      <c r="D118" s="25"/>
      <c r="E118" s="25"/>
      <c r="F118" s="25"/>
      <c r="G118" s="44"/>
      <c r="H118" s="7" t="s">
        <v>8</v>
      </c>
      <c r="I118" s="37">
        <v>40939.570379999997</v>
      </c>
      <c r="J118" s="9">
        <v>0</v>
      </c>
      <c r="K118" s="9">
        <v>0</v>
      </c>
      <c r="L118" s="9">
        <f>J118-K118</f>
        <v>0</v>
      </c>
      <c r="M118" s="9">
        <f>SUM(N118:Q118)</f>
        <v>21116.994999999999</v>
      </c>
      <c r="N118" s="9">
        <v>21116.994999999999</v>
      </c>
      <c r="O118" s="9">
        <v>0</v>
      </c>
      <c r="P118" s="9">
        <v>0</v>
      </c>
      <c r="Q118" s="9">
        <v>0</v>
      </c>
      <c r="R118" s="37">
        <f>SUM(S118:U118)</f>
        <v>20012.210529999997</v>
      </c>
      <c r="S118" s="37">
        <f>21116.995-1294.41962</f>
        <v>19822.575379999998</v>
      </c>
      <c r="T118" s="37">
        <v>189.63515000000001</v>
      </c>
      <c r="U118" s="9">
        <v>0</v>
      </c>
      <c r="V118" s="9">
        <f>SUM(W118:AA118)</f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40"/>
    </row>
    <row r="119" spans="1:28" x14ac:dyDescent="0.25">
      <c r="A119" s="38"/>
      <c r="B119" s="3"/>
      <c r="C119" s="43" t="s">
        <v>126</v>
      </c>
      <c r="D119" s="25" t="s">
        <v>137</v>
      </c>
      <c r="E119" s="51">
        <v>2026</v>
      </c>
      <c r="F119" s="51" t="s">
        <v>127</v>
      </c>
      <c r="G119" s="44">
        <f>I121</f>
        <v>301992.17000000004</v>
      </c>
      <c r="H119" s="7" t="s">
        <v>5</v>
      </c>
      <c r="I119" s="37">
        <f t="shared" si="97"/>
        <v>301992.17000000004</v>
      </c>
      <c r="J119" s="9">
        <f t="shared" si="97"/>
        <v>0</v>
      </c>
      <c r="K119" s="9">
        <f t="shared" si="97"/>
        <v>0</v>
      </c>
      <c r="L119" s="9">
        <f t="shared" si="97"/>
        <v>0</v>
      </c>
      <c r="M119" s="9">
        <f t="shared" si="98"/>
        <v>0</v>
      </c>
      <c r="N119" s="9">
        <f t="shared" si="98"/>
        <v>0</v>
      </c>
      <c r="O119" s="9">
        <f>O120</f>
        <v>0</v>
      </c>
      <c r="P119" s="9">
        <f t="shared" si="98"/>
        <v>0</v>
      </c>
      <c r="Q119" s="9">
        <f t="shared" si="98"/>
        <v>0</v>
      </c>
      <c r="R119" s="37">
        <f t="shared" si="98"/>
        <v>100740.96452000001</v>
      </c>
      <c r="S119" s="37">
        <f t="shared" si="98"/>
        <v>100740.96452000001</v>
      </c>
      <c r="T119" s="9">
        <f t="shared" si="98"/>
        <v>0</v>
      </c>
      <c r="U119" s="9">
        <f t="shared" si="98"/>
        <v>0</v>
      </c>
      <c r="V119" s="37">
        <f t="shared" si="98"/>
        <v>301992.17000000004</v>
      </c>
      <c r="W119" s="37">
        <f t="shared" si="98"/>
        <v>201251.20548000003</v>
      </c>
      <c r="X119" s="9">
        <f t="shared" si="98"/>
        <v>0</v>
      </c>
      <c r="Y119" s="9">
        <f t="shared" si="98"/>
        <v>0</v>
      </c>
      <c r="Z119" s="37">
        <f t="shared" si="98"/>
        <v>100740.96452000001</v>
      </c>
      <c r="AA119" s="9">
        <f t="shared" si="98"/>
        <v>0</v>
      </c>
      <c r="AB119" s="40" t="s">
        <v>9</v>
      </c>
    </row>
    <row r="120" spans="1:28" ht="60" x14ac:dyDescent="0.25">
      <c r="A120" s="38"/>
      <c r="B120" s="3"/>
      <c r="C120" s="45"/>
      <c r="D120" s="25"/>
      <c r="E120" s="52"/>
      <c r="F120" s="52"/>
      <c r="G120" s="44"/>
      <c r="H120" s="7" t="s">
        <v>6</v>
      </c>
      <c r="I120" s="37">
        <f t="shared" si="97"/>
        <v>301992.17000000004</v>
      </c>
      <c r="J120" s="9">
        <f t="shared" si="97"/>
        <v>0</v>
      </c>
      <c r="K120" s="9">
        <f t="shared" si="97"/>
        <v>0</v>
      </c>
      <c r="L120" s="9">
        <f t="shared" si="97"/>
        <v>0</v>
      </c>
      <c r="M120" s="9">
        <f t="shared" si="98"/>
        <v>0</v>
      </c>
      <c r="N120" s="9">
        <f t="shared" si="98"/>
        <v>0</v>
      </c>
      <c r="O120" s="9">
        <f>O121</f>
        <v>0</v>
      </c>
      <c r="P120" s="9">
        <f t="shared" si="98"/>
        <v>0</v>
      </c>
      <c r="Q120" s="9">
        <f t="shared" si="98"/>
        <v>0</v>
      </c>
      <c r="R120" s="37">
        <f t="shared" si="98"/>
        <v>100740.96452000001</v>
      </c>
      <c r="S120" s="37">
        <f t="shared" si="98"/>
        <v>100740.96452000001</v>
      </c>
      <c r="T120" s="9">
        <f t="shared" si="98"/>
        <v>0</v>
      </c>
      <c r="U120" s="9">
        <f t="shared" si="98"/>
        <v>0</v>
      </c>
      <c r="V120" s="37">
        <f t="shared" si="98"/>
        <v>301992.17000000004</v>
      </c>
      <c r="W120" s="37">
        <f t="shared" si="98"/>
        <v>201251.20548000003</v>
      </c>
      <c r="X120" s="9">
        <f t="shared" si="98"/>
        <v>0</v>
      </c>
      <c r="Y120" s="9">
        <f t="shared" si="98"/>
        <v>0</v>
      </c>
      <c r="Z120" s="37">
        <f t="shared" si="98"/>
        <v>100740.96452000001</v>
      </c>
      <c r="AA120" s="9">
        <f t="shared" si="98"/>
        <v>0</v>
      </c>
      <c r="AB120" s="40"/>
    </row>
    <row r="121" spans="1:28" ht="45" x14ac:dyDescent="0.25">
      <c r="A121" s="38"/>
      <c r="B121" s="3"/>
      <c r="C121" s="46"/>
      <c r="D121" s="25"/>
      <c r="E121" s="53"/>
      <c r="F121" s="53"/>
      <c r="G121" s="44"/>
      <c r="H121" s="7" t="s">
        <v>8</v>
      </c>
      <c r="I121" s="37">
        <v>301992.17000000004</v>
      </c>
      <c r="J121" s="9">
        <v>0</v>
      </c>
      <c r="K121" s="9">
        <v>0</v>
      </c>
      <c r="L121" s="9">
        <f>J121-K121</f>
        <v>0</v>
      </c>
      <c r="M121" s="9">
        <f>SUM(N121:Q121)</f>
        <v>0</v>
      </c>
      <c r="N121" s="9">
        <v>0</v>
      </c>
      <c r="O121" s="9">
        <v>0</v>
      </c>
      <c r="P121" s="9">
        <v>0</v>
      </c>
      <c r="Q121" s="9">
        <v>0</v>
      </c>
      <c r="R121" s="37">
        <f>SUM(S121:U121)</f>
        <v>100740.96452000001</v>
      </c>
      <c r="S121" s="37">
        <f>Z121</f>
        <v>100740.96452000001</v>
      </c>
      <c r="T121" s="9">
        <v>0</v>
      </c>
      <c r="U121" s="9">
        <v>0</v>
      </c>
      <c r="V121" s="37">
        <f>SUM(W121:AA121)</f>
        <v>301992.17000000004</v>
      </c>
      <c r="W121" s="37">
        <v>201251.20548000003</v>
      </c>
      <c r="X121" s="9">
        <v>0</v>
      </c>
      <c r="Y121" s="9">
        <v>0</v>
      </c>
      <c r="Z121" s="37">
        <f>3182.04462+1294.41962+95212+397.58577+225.78866+429.12585</f>
        <v>100740.96452000001</v>
      </c>
      <c r="AA121" s="9">
        <v>0</v>
      </c>
      <c r="AB121" s="40"/>
    </row>
    <row r="122" spans="1:28" ht="210" x14ac:dyDescent="0.25">
      <c r="A122" s="36" t="s">
        <v>38</v>
      </c>
      <c r="B122" s="2" t="s">
        <v>76</v>
      </c>
      <c r="C122" s="14"/>
      <c r="D122" s="25" t="s">
        <v>4</v>
      </c>
      <c r="E122" s="25" t="s">
        <v>4</v>
      </c>
      <c r="F122" s="25" t="s">
        <v>4</v>
      </c>
      <c r="G122" s="25" t="s">
        <v>4</v>
      </c>
      <c r="H122" s="7" t="s">
        <v>5</v>
      </c>
      <c r="I122" s="37">
        <f t="shared" ref="I122:L123" si="99">I123</f>
        <v>157701.15543000001</v>
      </c>
      <c r="J122" s="37">
        <f t="shared" si="99"/>
        <v>93492.56</v>
      </c>
      <c r="K122" s="37">
        <f t="shared" si="99"/>
        <v>88259.761679999996</v>
      </c>
      <c r="L122" s="37">
        <f t="shared" si="99"/>
        <v>5232.7983200000017</v>
      </c>
      <c r="M122" s="37">
        <f t="shared" ref="M122:AA123" si="100">M123</f>
        <v>36117.83367</v>
      </c>
      <c r="N122" s="37">
        <f t="shared" si="100"/>
        <v>30885.035349999998</v>
      </c>
      <c r="O122" s="9">
        <f>O123</f>
        <v>0</v>
      </c>
      <c r="P122" s="37">
        <f t="shared" si="100"/>
        <v>1872.03746</v>
      </c>
      <c r="Q122" s="37">
        <f t="shared" si="100"/>
        <v>3360.7608599999999</v>
      </c>
      <c r="R122" s="37">
        <f t="shared" si="100"/>
        <v>34118.261780000001</v>
      </c>
      <c r="S122" s="37">
        <f t="shared" si="100"/>
        <v>34102.34994</v>
      </c>
      <c r="T122" s="37">
        <f t="shared" si="100"/>
        <v>15.91184</v>
      </c>
      <c r="U122" s="9">
        <f t="shared" si="100"/>
        <v>0</v>
      </c>
      <c r="V122" s="9">
        <f t="shared" si="100"/>
        <v>0</v>
      </c>
      <c r="W122" s="9">
        <f t="shared" si="100"/>
        <v>0</v>
      </c>
      <c r="X122" s="9">
        <f t="shared" si="100"/>
        <v>0</v>
      </c>
      <c r="Y122" s="9">
        <f t="shared" si="100"/>
        <v>0</v>
      </c>
      <c r="Z122" s="9">
        <f t="shared" si="100"/>
        <v>0</v>
      </c>
      <c r="AA122" s="9">
        <f t="shared" si="100"/>
        <v>0</v>
      </c>
      <c r="AB122" s="29" t="s">
        <v>4</v>
      </c>
    </row>
    <row r="123" spans="1:28" ht="60" x14ac:dyDescent="0.25">
      <c r="A123" s="38"/>
      <c r="B123" s="3"/>
      <c r="C123" s="14"/>
      <c r="D123" s="25"/>
      <c r="E123" s="25"/>
      <c r="F123" s="25"/>
      <c r="G123" s="25"/>
      <c r="H123" s="7" t="s">
        <v>6</v>
      </c>
      <c r="I123" s="37">
        <f t="shared" si="99"/>
        <v>157701.15543000001</v>
      </c>
      <c r="J123" s="37">
        <f t="shared" si="99"/>
        <v>93492.56</v>
      </c>
      <c r="K123" s="37">
        <f t="shared" si="99"/>
        <v>88259.761679999996</v>
      </c>
      <c r="L123" s="37">
        <f t="shared" si="99"/>
        <v>5232.7983200000017</v>
      </c>
      <c r="M123" s="37">
        <f t="shared" si="100"/>
        <v>36117.83367</v>
      </c>
      <c r="N123" s="37">
        <f t="shared" si="100"/>
        <v>30885.035349999998</v>
      </c>
      <c r="O123" s="9">
        <f>O124</f>
        <v>0</v>
      </c>
      <c r="P123" s="37">
        <f t="shared" si="100"/>
        <v>1872.03746</v>
      </c>
      <c r="Q123" s="37">
        <f t="shared" si="100"/>
        <v>3360.7608599999999</v>
      </c>
      <c r="R123" s="37">
        <f t="shared" si="100"/>
        <v>34118.261780000001</v>
      </c>
      <c r="S123" s="37">
        <f t="shared" si="100"/>
        <v>34102.34994</v>
      </c>
      <c r="T123" s="37">
        <f t="shared" si="100"/>
        <v>15.91184</v>
      </c>
      <c r="U123" s="9">
        <f t="shared" si="100"/>
        <v>0</v>
      </c>
      <c r="V123" s="9">
        <f t="shared" si="100"/>
        <v>0</v>
      </c>
      <c r="W123" s="9">
        <f t="shared" si="100"/>
        <v>0</v>
      </c>
      <c r="X123" s="9">
        <f t="shared" si="100"/>
        <v>0</v>
      </c>
      <c r="Y123" s="9">
        <f t="shared" si="100"/>
        <v>0</v>
      </c>
      <c r="Z123" s="9">
        <f t="shared" si="100"/>
        <v>0</v>
      </c>
      <c r="AA123" s="9">
        <f t="shared" si="100"/>
        <v>0</v>
      </c>
      <c r="AB123" s="29"/>
    </row>
    <row r="124" spans="1:28" ht="45" x14ac:dyDescent="0.25">
      <c r="A124" s="33"/>
      <c r="B124" s="4"/>
      <c r="C124" s="14"/>
      <c r="D124" s="25"/>
      <c r="E124" s="25"/>
      <c r="F124" s="25"/>
      <c r="G124" s="25"/>
      <c r="H124" s="7" t="s">
        <v>8</v>
      </c>
      <c r="I124" s="37">
        <f>I127+I130+I133+I136+I139+I142+I145+I148+I151+I154</f>
        <v>157701.15543000001</v>
      </c>
      <c r="J124" s="37">
        <f>J127+J130+J133+J136+J139+J142+J145+J148+J151+J154</f>
        <v>93492.56</v>
      </c>
      <c r="K124" s="37">
        <f t="shared" ref="K124:U124" si="101">K127+K130+K133+K136+K139+K142+K145+K148+K151+K154</f>
        <v>88259.761679999996</v>
      </c>
      <c r="L124" s="37">
        <f t="shared" si="101"/>
        <v>5232.7983200000017</v>
      </c>
      <c r="M124" s="37">
        <f>SUM(N124:Q124)</f>
        <v>36117.83367</v>
      </c>
      <c r="N124" s="37">
        <f t="shared" si="101"/>
        <v>30885.035349999998</v>
      </c>
      <c r="O124" s="9">
        <f t="shared" si="101"/>
        <v>0</v>
      </c>
      <c r="P124" s="37">
        <f t="shared" si="101"/>
        <v>1872.03746</v>
      </c>
      <c r="Q124" s="37">
        <f t="shared" si="101"/>
        <v>3360.7608599999999</v>
      </c>
      <c r="R124" s="37">
        <f>SUM(S124:U124)</f>
        <v>34118.261780000001</v>
      </c>
      <c r="S124" s="37">
        <f t="shared" si="101"/>
        <v>34102.34994</v>
      </c>
      <c r="T124" s="37">
        <f t="shared" si="101"/>
        <v>15.91184</v>
      </c>
      <c r="U124" s="9">
        <f t="shared" si="101"/>
        <v>0</v>
      </c>
      <c r="V124" s="9">
        <f>SUM(W124:AA124)</f>
        <v>0</v>
      </c>
      <c r="W124" s="9">
        <f>W127+W130+W133+W136+W139+W142+W145+W148+W151+W154</f>
        <v>0</v>
      </c>
      <c r="X124" s="9">
        <f t="shared" ref="X124:AA124" si="102">X127+X130+X133+X136+X139+X142+X145+X148+X151+X154</f>
        <v>0</v>
      </c>
      <c r="Y124" s="9">
        <f t="shared" si="102"/>
        <v>0</v>
      </c>
      <c r="Z124" s="9">
        <f t="shared" si="102"/>
        <v>0</v>
      </c>
      <c r="AA124" s="9">
        <f t="shared" si="102"/>
        <v>0</v>
      </c>
      <c r="AB124" s="29"/>
    </row>
    <row r="125" spans="1:28" x14ac:dyDescent="0.25">
      <c r="A125" s="38"/>
      <c r="B125" s="3"/>
      <c r="C125" s="14" t="s">
        <v>77</v>
      </c>
      <c r="D125" s="25">
        <v>2022</v>
      </c>
      <c r="E125" s="25">
        <v>2022</v>
      </c>
      <c r="F125" s="25" t="s">
        <v>156</v>
      </c>
      <c r="G125" s="44">
        <f>I127</f>
        <v>14701.21385</v>
      </c>
      <c r="H125" s="7" t="s">
        <v>5</v>
      </c>
      <c r="I125" s="37">
        <f t="shared" ref="I125:L126" si="103">I126</f>
        <v>14701.21385</v>
      </c>
      <c r="J125" s="37">
        <f t="shared" si="103"/>
        <v>15008.5</v>
      </c>
      <c r="K125" s="37">
        <f t="shared" si="103"/>
        <v>14701.21385</v>
      </c>
      <c r="L125" s="37">
        <f t="shared" si="103"/>
        <v>307.28614999999991</v>
      </c>
      <c r="M125" s="9">
        <f t="shared" ref="M125:P126" si="104">M126</f>
        <v>0</v>
      </c>
      <c r="N125" s="37">
        <f t="shared" si="104"/>
        <v>-307.28615000000002</v>
      </c>
      <c r="O125" s="9">
        <f>O126</f>
        <v>0</v>
      </c>
      <c r="P125" s="37">
        <f t="shared" si="104"/>
        <v>307.28615000000002</v>
      </c>
      <c r="Q125" s="9">
        <f t="shared" ref="Q125:AA125" si="105">Q126</f>
        <v>0</v>
      </c>
      <c r="R125" s="9">
        <f t="shared" si="105"/>
        <v>0</v>
      </c>
      <c r="S125" s="9">
        <f t="shared" si="105"/>
        <v>0</v>
      </c>
      <c r="T125" s="9">
        <f t="shared" si="105"/>
        <v>0</v>
      </c>
      <c r="U125" s="9">
        <f t="shared" si="105"/>
        <v>0</v>
      </c>
      <c r="V125" s="9">
        <f t="shared" si="105"/>
        <v>0</v>
      </c>
      <c r="W125" s="9">
        <f t="shared" si="105"/>
        <v>0</v>
      </c>
      <c r="X125" s="9">
        <f t="shared" si="105"/>
        <v>0</v>
      </c>
      <c r="Y125" s="9">
        <f t="shared" si="105"/>
        <v>0</v>
      </c>
      <c r="Z125" s="9">
        <f t="shared" si="105"/>
        <v>0</v>
      </c>
      <c r="AA125" s="9">
        <f t="shared" si="105"/>
        <v>0</v>
      </c>
      <c r="AB125" s="40" t="s">
        <v>9</v>
      </c>
    </row>
    <row r="126" spans="1:28" ht="60" x14ac:dyDescent="0.25">
      <c r="A126" s="38"/>
      <c r="B126" s="3"/>
      <c r="C126" s="14"/>
      <c r="D126" s="25"/>
      <c r="E126" s="25"/>
      <c r="F126" s="25"/>
      <c r="G126" s="44"/>
      <c r="H126" s="7" t="s">
        <v>6</v>
      </c>
      <c r="I126" s="37">
        <f t="shared" si="103"/>
        <v>14701.21385</v>
      </c>
      <c r="J126" s="37">
        <f t="shared" si="103"/>
        <v>15008.5</v>
      </c>
      <c r="K126" s="37">
        <f t="shared" si="103"/>
        <v>14701.21385</v>
      </c>
      <c r="L126" s="37">
        <f t="shared" si="103"/>
        <v>307.28614999999991</v>
      </c>
      <c r="M126" s="9">
        <f t="shared" si="104"/>
        <v>0</v>
      </c>
      <c r="N126" s="37">
        <f t="shared" si="104"/>
        <v>-307.28615000000002</v>
      </c>
      <c r="O126" s="9">
        <f>O127</f>
        <v>0</v>
      </c>
      <c r="P126" s="37">
        <f t="shared" si="104"/>
        <v>307.28615000000002</v>
      </c>
      <c r="Q126" s="9">
        <f t="shared" ref="Q126:AA126" si="106">Q127</f>
        <v>0</v>
      </c>
      <c r="R126" s="9">
        <f t="shared" si="106"/>
        <v>0</v>
      </c>
      <c r="S126" s="9">
        <f t="shared" si="106"/>
        <v>0</v>
      </c>
      <c r="T126" s="9">
        <f t="shared" si="106"/>
        <v>0</v>
      </c>
      <c r="U126" s="9">
        <f t="shared" si="106"/>
        <v>0</v>
      </c>
      <c r="V126" s="9">
        <f t="shared" si="106"/>
        <v>0</v>
      </c>
      <c r="W126" s="9">
        <f t="shared" si="106"/>
        <v>0</v>
      </c>
      <c r="X126" s="9">
        <f t="shared" si="106"/>
        <v>0</v>
      </c>
      <c r="Y126" s="9">
        <f t="shared" si="106"/>
        <v>0</v>
      </c>
      <c r="Z126" s="9">
        <f t="shared" si="106"/>
        <v>0</v>
      </c>
      <c r="AA126" s="9">
        <f t="shared" si="106"/>
        <v>0</v>
      </c>
      <c r="AB126" s="40"/>
    </row>
    <row r="127" spans="1:28" ht="45" x14ac:dyDescent="0.25">
      <c r="A127" s="38"/>
      <c r="B127" s="3"/>
      <c r="C127" s="14"/>
      <c r="D127" s="25"/>
      <c r="E127" s="25"/>
      <c r="F127" s="25"/>
      <c r="G127" s="44"/>
      <c r="H127" s="7" t="s">
        <v>8</v>
      </c>
      <c r="I127" s="37">
        <v>14701.21385</v>
      </c>
      <c r="J127" s="37">
        <v>15008.5</v>
      </c>
      <c r="K127" s="37">
        <v>14701.21385</v>
      </c>
      <c r="L127" s="37">
        <f>J127-K127</f>
        <v>307.28614999999991</v>
      </c>
      <c r="M127" s="9">
        <f>SUM(N127:Q127)</f>
        <v>0</v>
      </c>
      <c r="N127" s="37">
        <v>-307.28615000000002</v>
      </c>
      <c r="O127" s="9">
        <v>0</v>
      </c>
      <c r="P127" s="37">
        <v>307.28615000000002</v>
      </c>
      <c r="Q127" s="9">
        <v>0</v>
      </c>
      <c r="R127" s="9">
        <f>SUM(S127:U127)</f>
        <v>0</v>
      </c>
      <c r="S127" s="9">
        <v>0</v>
      </c>
      <c r="T127" s="9">
        <v>0</v>
      </c>
      <c r="U127" s="9">
        <v>0</v>
      </c>
      <c r="V127" s="9">
        <f>SUM(W127:AA127)</f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40"/>
    </row>
    <row r="128" spans="1:28" x14ac:dyDescent="0.25">
      <c r="A128" s="38"/>
      <c r="B128" s="3"/>
      <c r="C128" s="14" t="s">
        <v>78</v>
      </c>
      <c r="D128" s="25">
        <v>2022</v>
      </c>
      <c r="E128" s="25">
        <v>2022</v>
      </c>
      <c r="F128" s="25" t="s">
        <v>155</v>
      </c>
      <c r="G128" s="44">
        <f>I130</f>
        <v>2864.4838</v>
      </c>
      <c r="H128" s="7" t="s">
        <v>5</v>
      </c>
      <c r="I128" s="37">
        <f t="shared" ref="I128:L129" si="107">I129</f>
        <v>2864.4838</v>
      </c>
      <c r="J128" s="37">
        <f t="shared" si="107"/>
        <v>3531.44</v>
      </c>
      <c r="K128" s="37">
        <f t="shared" si="107"/>
        <v>2864.4838</v>
      </c>
      <c r="L128" s="37">
        <f t="shared" si="107"/>
        <v>666.95620000000008</v>
      </c>
      <c r="M128" s="9">
        <f t="shared" ref="M128:P129" si="108">M129</f>
        <v>0</v>
      </c>
      <c r="N128" s="37">
        <f t="shared" si="108"/>
        <v>-666.95619999999997</v>
      </c>
      <c r="O128" s="9">
        <f>O129</f>
        <v>0</v>
      </c>
      <c r="P128" s="37">
        <f t="shared" si="108"/>
        <v>666.95619999999997</v>
      </c>
      <c r="Q128" s="9">
        <f t="shared" ref="Q128:AA129" si="109">Q129</f>
        <v>0</v>
      </c>
      <c r="R128" s="9">
        <f t="shared" si="109"/>
        <v>0</v>
      </c>
      <c r="S128" s="9">
        <f t="shared" si="109"/>
        <v>0</v>
      </c>
      <c r="T128" s="9">
        <f t="shared" si="109"/>
        <v>0</v>
      </c>
      <c r="U128" s="9">
        <f t="shared" si="109"/>
        <v>0</v>
      </c>
      <c r="V128" s="9">
        <f t="shared" si="109"/>
        <v>0</v>
      </c>
      <c r="W128" s="9">
        <f t="shared" si="109"/>
        <v>0</v>
      </c>
      <c r="X128" s="9">
        <f t="shared" si="109"/>
        <v>0</v>
      </c>
      <c r="Y128" s="9">
        <f t="shared" si="109"/>
        <v>0</v>
      </c>
      <c r="Z128" s="9">
        <f t="shared" si="109"/>
        <v>0</v>
      </c>
      <c r="AA128" s="9">
        <f t="shared" si="109"/>
        <v>0</v>
      </c>
      <c r="AB128" s="40" t="s">
        <v>9</v>
      </c>
    </row>
    <row r="129" spans="1:28" ht="60" x14ac:dyDescent="0.25">
      <c r="A129" s="38"/>
      <c r="B129" s="3"/>
      <c r="C129" s="14"/>
      <c r="D129" s="25"/>
      <c r="E129" s="25"/>
      <c r="F129" s="25"/>
      <c r="G129" s="25"/>
      <c r="H129" s="7" t="s">
        <v>6</v>
      </c>
      <c r="I129" s="37">
        <f t="shared" si="107"/>
        <v>2864.4838</v>
      </c>
      <c r="J129" s="37">
        <f t="shared" si="107"/>
        <v>3531.44</v>
      </c>
      <c r="K129" s="37">
        <f t="shared" si="107"/>
        <v>2864.4838</v>
      </c>
      <c r="L129" s="37">
        <f t="shared" si="107"/>
        <v>666.95620000000008</v>
      </c>
      <c r="M129" s="9">
        <f t="shared" si="108"/>
        <v>0</v>
      </c>
      <c r="N129" s="37">
        <f t="shared" si="108"/>
        <v>-666.95619999999997</v>
      </c>
      <c r="O129" s="9">
        <f>O130</f>
        <v>0</v>
      </c>
      <c r="P129" s="37">
        <f t="shared" si="108"/>
        <v>666.95619999999997</v>
      </c>
      <c r="Q129" s="9">
        <f t="shared" si="109"/>
        <v>0</v>
      </c>
      <c r="R129" s="9">
        <f t="shared" si="109"/>
        <v>0</v>
      </c>
      <c r="S129" s="9">
        <f t="shared" si="109"/>
        <v>0</v>
      </c>
      <c r="T129" s="9">
        <f t="shared" si="109"/>
        <v>0</v>
      </c>
      <c r="U129" s="9">
        <f t="shared" si="109"/>
        <v>0</v>
      </c>
      <c r="V129" s="9">
        <f t="shared" si="109"/>
        <v>0</v>
      </c>
      <c r="W129" s="9">
        <f t="shared" si="109"/>
        <v>0</v>
      </c>
      <c r="X129" s="9">
        <f t="shared" si="109"/>
        <v>0</v>
      </c>
      <c r="Y129" s="9">
        <f t="shared" si="109"/>
        <v>0</v>
      </c>
      <c r="Z129" s="9">
        <f t="shared" si="109"/>
        <v>0</v>
      </c>
      <c r="AA129" s="9">
        <f t="shared" si="109"/>
        <v>0</v>
      </c>
      <c r="AB129" s="40"/>
    </row>
    <row r="130" spans="1:28" ht="45" x14ac:dyDescent="0.25">
      <c r="A130" s="38"/>
      <c r="B130" s="3"/>
      <c r="C130" s="14"/>
      <c r="D130" s="25"/>
      <c r="E130" s="25"/>
      <c r="F130" s="25"/>
      <c r="G130" s="25"/>
      <c r="H130" s="7" t="s">
        <v>8</v>
      </c>
      <c r="I130" s="37">
        <v>2864.4838</v>
      </c>
      <c r="J130" s="37">
        <v>3531.44</v>
      </c>
      <c r="K130" s="37">
        <v>2864.4838</v>
      </c>
      <c r="L130" s="37">
        <f>J130-K130</f>
        <v>666.95620000000008</v>
      </c>
      <c r="M130" s="9">
        <f>SUM(N130:Q130)</f>
        <v>0</v>
      </c>
      <c r="N130" s="37">
        <v>-666.95619999999997</v>
      </c>
      <c r="O130" s="9">
        <v>0</v>
      </c>
      <c r="P130" s="37">
        <v>666.95619999999997</v>
      </c>
      <c r="Q130" s="9">
        <v>0</v>
      </c>
      <c r="R130" s="9">
        <f>SUM(S130:U130)</f>
        <v>0</v>
      </c>
      <c r="S130" s="9">
        <v>0</v>
      </c>
      <c r="T130" s="9">
        <v>0</v>
      </c>
      <c r="U130" s="9">
        <v>0</v>
      </c>
      <c r="V130" s="9">
        <f>SUM(W130:AA130)</f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40"/>
    </row>
    <row r="131" spans="1:28" x14ac:dyDescent="0.25">
      <c r="A131" s="38"/>
      <c r="B131" s="3"/>
      <c r="C131" s="14" t="s">
        <v>79</v>
      </c>
      <c r="D131" s="25">
        <v>2022</v>
      </c>
      <c r="E131" s="25">
        <v>2022</v>
      </c>
      <c r="F131" s="25" t="s">
        <v>154</v>
      </c>
      <c r="G131" s="44">
        <f>I133</f>
        <v>3974.91662</v>
      </c>
      <c r="H131" s="7" t="s">
        <v>5</v>
      </c>
      <c r="I131" s="37">
        <f t="shared" ref="I131:L132" si="110">I132</f>
        <v>3974.91662</v>
      </c>
      <c r="J131" s="37">
        <f t="shared" si="110"/>
        <v>4090.25</v>
      </c>
      <c r="K131" s="37">
        <f t="shared" si="110"/>
        <v>3974.91662</v>
      </c>
      <c r="L131" s="37">
        <f t="shared" si="110"/>
        <v>115.33338000000003</v>
      </c>
      <c r="M131" s="9">
        <f t="shared" ref="M131:P132" si="111">M132</f>
        <v>0</v>
      </c>
      <c r="N131" s="37">
        <f t="shared" si="111"/>
        <v>-115.33338000000001</v>
      </c>
      <c r="O131" s="9">
        <f>O132</f>
        <v>0</v>
      </c>
      <c r="P131" s="37">
        <f t="shared" si="111"/>
        <v>115.33338000000001</v>
      </c>
      <c r="Q131" s="9">
        <f t="shared" ref="Q131:AA132" si="112">Q132</f>
        <v>0</v>
      </c>
      <c r="R131" s="9">
        <f t="shared" si="112"/>
        <v>0</v>
      </c>
      <c r="S131" s="9">
        <f t="shared" si="112"/>
        <v>0</v>
      </c>
      <c r="T131" s="9">
        <f t="shared" si="112"/>
        <v>0</v>
      </c>
      <c r="U131" s="9">
        <f t="shared" si="112"/>
        <v>0</v>
      </c>
      <c r="V131" s="9">
        <f t="shared" si="112"/>
        <v>0</v>
      </c>
      <c r="W131" s="9">
        <f t="shared" si="112"/>
        <v>0</v>
      </c>
      <c r="X131" s="9">
        <f t="shared" si="112"/>
        <v>0</v>
      </c>
      <c r="Y131" s="9">
        <f t="shared" si="112"/>
        <v>0</v>
      </c>
      <c r="Z131" s="9">
        <f t="shared" si="112"/>
        <v>0</v>
      </c>
      <c r="AA131" s="9">
        <f t="shared" si="112"/>
        <v>0</v>
      </c>
      <c r="AB131" s="40" t="s">
        <v>9</v>
      </c>
    </row>
    <row r="132" spans="1:28" ht="60" x14ac:dyDescent="0.25">
      <c r="A132" s="38"/>
      <c r="B132" s="3"/>
      <c r="C132" s="14"/>
      <c r="D132" s="25"/>
      <c r="E132" s="25"/>
      <c r="F132" s="25"/>
      <c r="G132" s="44"/>
      <c r="H132" s="7" t="s">
        <v>6</v>
      </c>
      <c r="I132" s="37">
        <f t="shared" si="110"/>
        <v>3974.91662</v>
      </c>
      <c r="J132" s="37">
        <f t="shared" si="110"/>
        <v>4090.25</v>
      </c>
      <c r="K132" s="37">
        <f t="shared" si="110"/>
        <v>3974.91662</v>
      </c>
      <c r="L132" s="37">
        <f t="shared" si="110"/>
        <v>115.33338000000003</v>
      </c>
      <c r="M132" s="9">
        <f t="shared" si="111"/>
        <v>0</v>
      </c>
      <c r="N132" s="37">
        <f t="shared" si="111"/>
        <v>-115.33338000000001</v>
      </c>
      <c r="O132" s="9">
        <f>O133</f>
        <v>0</v>
      </c>
      <c r="P132" s="37">
        <f t="shared" si="111"/>
        <v>115.33338000000001</v>
      </c>
      <c r="Q132" s="9">
        <f t="shared" si="112"/>
        <v>0</v>
      </c>
      <c r="R132" s="9">
        <f t="shared" si="112"/>
        <v>0</v>
      </c>
      <c r="S132" s="9">
        <f t="shared" si="112"/>
        <v>0</v>
      </c>
      <c r="T132" s="9">
        <f t="shared" si="112"/>
        <v>0</v>
      </c>
      <c r="U132" s="9">
        <f t="shared" si="112"/>
        <v>0</v>
      </c>
      <c r="V132" s="9">
        <f t="shared" si="112"/>
        <v>0</v>
      </c>
      <c r="W132" s="9">
        <f t="shared" si="112"/>
        <v>0</v>
      </c>
      <c r="X132" s="9">
        <f t="shared" si="112"/>
        <v>0</v>
      </c>
      <c r="Y132" s="9">
        <f t="shared" si="112"/>
        <v>0</v>
      </c>
      <c r="Z132" s="9">
        <f t="shared" si="112"/>
        <v>0</v>
      </c>
      <c r="AA132" s="9">
        <f t="shared" si="112"/>
        <v>0</v>
      </c>
      <c r="AB132" s="40"/>
    </row>
    <row r="133" spans="1:28" ht="65.25" customHeight="1" x14ac:dyDescent="0.25">
      <c r="A133" s="38"/>
      <c r="B133" s="3"/>
      <c r="C133" s="14"/>
      <c r="D133" s="25"/>
      <c r="E133" s="25"/>
      <c r="F133" s="25"/>
      <c r="G133" s="44"/>
      <c r="H133" s="7" t="s">
        <v>8</v>
      </c>
      <c r="I133" s="37">
        <v>3974.91662</v>
      </c>
      <c r="J133" s="37">
        <v>4090.25</v>
      </c>
      <c r="K133" s="37">
        <v>3974.91662</v>
      </c>
      <c r="L133" s="37">
        <f>J133-K133</f>
        <v>115.33338000000003</v>
      </c>
      <c r="M133" s="9">
        <f>SUM(N133:Q133)</f>
        <v>0</v>
      </c>
      <c r="N133" s="37">
        <v>-115.33338000000001</v>
      </c>
      <c r="O133" s="9">
        <v>0</v>
      </c>
      <c r="P133" s="37">
        <v>115.33338000000001</v>
      </c>
      <c r="Q133" s="9">
        <v>0</v>
      </c>
      <c r="R133" s="9">
        <f>SUM(S133:U133)</f>
        <v>0</v>
      </c>
      <c r="S133" s="9">
        <v>0</v>
      </c>
      <c r="T133" s="9">
        <v>0</v>
      </c>
      <c r="U133" s="9">
        <v>0</v>
      </c>
      <c r="V133" s="9">
        <f>SUM(W133:AA133)</f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40"/>
    </row>
    <row r="134" spans="1:28" x14ac:dyDescent="0.25">
      <c r="A134" s="38"/>
      <c r="B134" s="3"/>
      <c r="C134" s="14" t="s">
        <v>94</v>
      </c>
      <c r="D134" s="25">
        <v>2022</v>
      </c>
      <c r="E134" s="25">
        <v>2022</v>
      </c>
      <c r="F134" s="25" t="s">
        <v>153</v>
      </c>
      <c r="G134" s="44">
        <f>I136</f>
        <v>37868.508269999998</v>
      </c>
      <c r="H134" s="7" t="s">
        <v>5</v>
      </c>
      <c r="I134" s="37">
        <f t="shared" ref="I134:L135" si="113">I135</f>
        <v>37868.508269999998</v>
      </c>
      <c r="J134" s="37">
        <f t="shared" si="113"/>
        <v>38650.97</v>
      </c>
      <c r="K134" s="37">
        <f t="shared" si="113"/>
        <v>37868.508269999998</v>
      </c>
      <c r="L134" s="37">
        <f t="shared" si="113"/>
        <v>782.46173000000272</v>
      </c>
      <c r="M134" s="9">
        <f t="shared" ref="M134:P135" si="114">M135</f>
        <v>0</v>
      </c>
      <c r="N134" s="37">
        <f t="shared" si="114"/>
        <v>-782.46172999999999</v>
      </c>
      <c r="O134" s="9">
        <f>O135</f>
        <v>0</v>
      </c>
      <c r="P134" s="37">
        <f t="shared" si="114"/>
        <v>782.46172999999999</v>
      </c>
      <c r="Q134" s="9">
        <f t="shared" ref="Q134:AA135" si="115">Q135</f>
        <v>0</v>
      </c>
      <c r="R134" s="9">
        <f t="shared" si="115"/>
        <v>0</v>
      </c>
      <c r="S134" s="9">
        <f t="shared" si="115"/>
        <v>0</v>
      </c>
      <c r="T134" s="9">
        <f t="shared" si="115"/>
        <v>0</v>
      </c>
      <c r="U134" s="9">
        <f t="shared" si="115"/>
        <v>0</v>
      </c>
      <c r="V134" s="9">
        <f t="shared" si="115"/>
        <v>0</v>
      </c>
      <c r="W134" s="9">
        <f t="shared" si="115"/>
        <v>0</v>
      </c>
      <c r="X134" s="9">
        <f t="shared" si="115"/>
        <v>0</v>
      </c>
      <c r="Y134" s="9">
        <f t="shared" si="115"/>
        <v>0</v>
      </c>
      <c r="Z134" s="9">
        <f t="shared" si="115"/>
        <v>0</v>
      </c>
      <c r="AA134" s="9">
        <f t="shared" si="115"/>
        <v>0</v>
      </c>
      <c r="AB134" s="40" t="s">
        <v>9</v>
      </c>
    </row>
    <row r="135" spans="1:28" ht="60" x14ac:dyDescent="0.25">
      <c r="A135" s="38"/>
      <c r="B135" s="3"/>
      <c r="C135" s="14"/>
      <c r="D135" s="25"/>
      <c r="E135" s="25"/>
      <c r="F135" s="25"/>
      <c r="G135" s="44"/>
      <c r="H135" s="7" t="s">
        <v>6</v>
      </c>
      <c r="I135" s="37">
        <f t="shared" si="113"/>
        <v>37868.508269999998</v>
      </c>
      <c r="J135" s="37">
        <f t="shared" si="113"/>
        <v>38650.97</v>
      </c>
      <c r="K135" s="37">
        <f t="shared" si="113"/>
        <v>37868.508269999998</v>
      </c>
      <c r="L135" s="37">
        <f t="shared" si="113"/>
        <v>782.46173000000272</v>
      </c>
      <c r="M135" s="9">
        <f t="shared" si="114"/>
        <v>0</v>
      </c>
      <c r="N135" s="37">
        <f t="shared" si="114"/>
        <v>-782.46172999999999</v>
      </c>
      <c r="O135" s="9">
        <f>O136</f>
        <v>0</v>
      </c>
      <c r="P135" s="37">
        <f t="shared" si="114"/>
        <v>782.46172999999999</v>
      </c>
      <c r="Q135" s="9">
        <f t="shared" si="115"/>
        <v>0</v>
      </c>
      <c r="R135" s="9">
        <f t="shared" si="115"/>
        <v>0</v>
      </c>
      <c r="S135" s="9">
        <f t="shared" si="115"/>
        <v>0</v>
      </c>
      <c r="T135" s="9">
        <f t="shared" si="115"/>
        <v>0</v>
      </c>
      <c r="U135" s="9">
        <f t="shared" si="115"/>
        <v>0</v>
      </c>
      <c r="V135" s="9">
        <f t="shared" si="115"/>
        <v>0</v>
      </c>
      <c r="W135" s="9">
        <f t="shared" si="115"/>
        <v>0</v>
      </c>
      <c r="X135" s="9">
        <f t="shared" si="115"/>
        <v>0</v>
      </c>
      <c r="Y135" s="9">
        <f t="shared" si="115"/>
        <v>0</v>
      </c>
      <c r="Z135" s="9">
        <f t="shared" si="115"/>
        <v>0</v>
      </c>
      <c r="AA135" s="9">
        <f t="shared" si="115"/>
        <v>0</v>
      </c>
      <c r="AB135" s="40"/>
    </row>
    <row r="136" spans="1:28" ht="94.5" customHeight="1" x14ac:dyDescent="0.25">
      <c r="A136" s="38"/>
      <c r="B136" s="3"/>
      <c r="C136" s="14"/>
      <c r="D136" s="25"/>
      <c r="E136" s="25"/>
      <c r="F136" s="25"/>
      <c r="G136" s="44"/>
      <c r="H136" s="7" t="s">
        <v>8</v>
      </c>
      <c r="I136" s="37">
        <v>37868.508269999998</v>
      </c>
      <c r="J136" s="37">
        <v>38650.97</v>
      </c>
      <c r="K136" s="37">
        <v>37868.508269999998</v>
      </c>
      <c r="L136" s="37">
        <f>J136-K136</f>
        <v>782.46173000000272</v>
      </c>
      <c r="M136" s="9">
        <f>SUM(N136:Q136)</f>
        <v>0</v>
      </c>
      <c r="N136" s="37">
        <v>-782.46172999999999</v>
      </c>
      <c r="O136" s="9">
        <v>0</v>
      </c>
      <c r="P136" s="37">
        <v>782.46172999999999</v>
      </c>
      <c r="Q136" s="9">
        <v>0</v>
      </c>
      <c r="R136" s="9">
        <f>SUM(S136:U136)</f>
        <v>0</v>
      </c>
      <c r="S136" s="9">
        <v>0</v>
      </c>
      <c r="T136" s="9">
        <v>0</v>
      </c>
      <c r="U136" s="9">
        <v>0</v>
      </c>
      <c r="V136" s="9">
        <f>SUM(W136:AA136)</f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40"/>
    </row>
    <row r="137" spans="1:28" x14ac:dyDescent="0.25">
      <c r="A137" s="38"/>
      <c r="B137" s="3"/>
      <c r="C137" s="14" t="s">
        <v>54</v>
      </c>
      <c r="D137" s="25" t="s">
        <v>24</v>
      </c>
      <c r="E137" s="25">
        <v>2023</v>
      </c>
      <c r="F137" s="25" t="s">
        <v>152</v>
      </c>
      <c r="G137" s="44">
        <f>I139</f>
        <v>29034.84275</v>
      </c>
      <c r="H137" s="7" t="s">
        <v>5</v>
      </c>
      <c r="I137" s="37">
        <f t="shared" ref="I137:M138" si="116">I138</f>
        <v>29034.84275</v>
      </c>
      <c r="J137" s="42">
        <f t="shared" si="116"/>
        <v>32211.4</v>
      </c>
      <c r="K137" s="42">
        <f t="shared" si="116"/>
        <v>28850.639140000003</v>
      </c>
      <c r="L137" s="37">
        <f t="shared" si="116"/>
        <v>3360.7608599999985</v>
      </c>
      <c r="M137" s="37">
        <f t="shared" si="116"/>
        <v>962.99347</v>
      </c>
      <c r="N137" s="37">
        <f t="shared" ref="N137:AA138" si="117">N138</f>
        <v>962.99347</v>
      </c>
      <c r="O137" s="9">
        <f>O138</f>
        <v>0</v>
      </c>
      <c r="P137" s="9">
        <f t="shared" si="117"/>
        <v>0</v>
      </c>
      <c r="Q137" s="9">
        <f t="shared" si="117"/>
        <v>0</v>
      </c>
      <c r="R137" s="9">
        <f t="shared" si="117"/>
        <v>0</v>
      </c>
      <c r="S137" s="9">
        <f t="shared" si="117"/>
        <v>0</v>
      </c>
      <c r="T137" s="9">
        <f t="shared" si="117"/>
        <v>0</v>
      </c>
      <c r="U137" s="9">
        <f t="shared" si="117"/>
        <v>0</v>
      </c>
      <c r="V137" s="9">
        <f t="shared" si="117"/>
        <v>0</v>
      </c>
      <c r="W137" s="9">
        <f t="shared" si="117"/>
        <v>0</v>
      </c>
      <c r="X137" s="9">
        <f t="shared" si="117"/>
        <v>0</v>
      </c>
      <c r="Y137" s="9">
        <f t="shared" si="117"/>
        <v>0</v>
      </c>
      <c r="Z137" s="9">
        <f t="shared" si="117"/>
        <v>0</v>
      </c>
      <c r="AA137" s="9">
        <f t="shared" si="117"/>
        <v>0</v>
      </c>
      <c r="AB137" s="40" t="s">
        <v>9</v>
      </c>
    </row>
    <row r="138" spans="1:28" ht="60" x14ac:dyDescent="0.25">
      <c r="A138" s="38"/>
      <c r="B138" s="3"/>
      <c r="C138" s="14"/>
      <c r="D138" s="25"/>
      <c r="E138" s="25"/>
      <c r="F138" s="25"/>
      <c r="G138" s="44"/>
      <c r="H138" s="7" t="s">
        <v>6</v>
      </c>
      <c r="I138" s="37">
        <f t="shared" si="116"/>
        <v>29034.84275</v>
      </c>
      <c r="J138" s="42">
        <f t="shared" si="116"/>
        <v>32211.4</v>
      </c>
      <c r="K138" s="42">
        <f t="shared" si="116"/>
        <v>28850.639140000003</v>
      </c>
      <c r="L138" s="37">
        <f t="shared" si="116"/>
        <v>3360.7608599999985</v>
      </c>
      <c r="M138" s="37">
        <f t="shared" si="116"/>
        <v>962.99347</v>
      </c>
      <c r="N138" s="37">
        <f t="shared" si="117"/>
        <v>962.99347</v>
      </c>
      <c r="O138" s="9">
        <f>O139</f>
        <v>0</v>
      </c>
      <c r="P138" s="9">
        <f t="shared" si="117"/>
        <v>0</v>
      </c>
      <c r="Q138" s="9">
        <f t="shared" si="117"/>
        <v>0</v>
      </c>
      <c r="R138" s="9">
        <f t="shared" si="117"/>
        <v>0</v>
      </c>
      <c r="S138" s="9">
        <f t="shared" si="117"/>
        <v>0</v>
      </c>
      <c r="T138" s="9">
        <f t="shared" si="117"/>
        <v>0</v>
      </c>
      <c r="U138" s="9">
        <f t="shared" si="117"/>
        <v>0</v>
      </c>
      <c r="V138" s="9">
        <f t="shared" si="117"/>
        <v>0</v>
      </c>
      <c r="W138" s="9">
        <f t="shared" si="117"/>
        <v>0</v>
      </c>
      <c r="X138" s="9">
        <f t="shared" si="117"/>
        <v>0</v>
      </c>
      <c r="Y138" s="9">
        <f t="shared" si="117"/>
        <v>0</v>
      </c>
      <c r="Z138" s="9">
        <f t="shared" si="117"/>
        <v>0</v>
      </c>
      <c r="AA138" s="9">
        <f t="shared" si="117"/>
        <v>0</v>
      </c>
      <c r="AB138" s="40"/>
    </row>
    <row r="139" spans="1:28" ht="45" x14ac:dyDescent="0.25">
      <c r="A139" s="33"/>
      <c r="B139" s="4"/>
      <c r="C139" s="14"/>
      <c r="D139" s="25"/>
      <c r="E139" s="25"/>
      <c r="F139" s="25"/>
      <c r="G139" s="44"/>
      <c r="H139" s="7" t="s">
        <v>8</v>
      </c>
      <c r="I139" s="37">
        <f>29813.63261-778.78986</f>
        <v>29034.84275</v>
      </c>
      <c r="J139" s="42">
        <v>32211.4</v>
      </c>
      <c r="K139" s="42">
        <f>32211.4-3360.76086</f>
        <v>28850.639140000003</v>
      </c>
      <c r="L139" s="37">
        <f>J139-K139</f>
        <v>3360.7608599999985</v>
      </c>
      <c r="M139" s="37">
        <f>SUM(N139:Q139)</f>
        <v>962.99347</v>
      </c>
      <c r="N139" s="37">
        <v>962.99347</v>
      </c>
      <c r="O139" s="9">
        <v>0</v>
      </c>
      <c r="P139" s="9">
        <v>0</v>
      </c>
      <c r="Q139" s="9">
        <v>0</v>
      </c>
      <c r="R139" s="9">
        <f>SUM(S139:U139)</f>
        <v>0</v>
      </c>
      <c r="S139" s="9">
        <v>0</v>
      </c>
      <c r="T139" s="9">
        <v>0</v>
      </c>
      <c r="U139" s="9">
        <v>0</v>
      </c>
      <c r="V139" s="9">
        <f>SUM(W139:AA139)</f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40"/>
    </row>
    <row r="140" spans="1:28" x14ac:dyDescent="0.25">
      <c r="A140" s="38"/>
      <c r="B140" s="2"/>
      <c r="C140" s="14" t="s">
        <v>95</v>
      </c>
      <c r="D140" s="25" t="s">
        <v>27</v>
      </c>
      <c r="E140" s="25">
        <v>2024</v>
      </c>
      <c r="F140" s="25" t="s">
        <v>151</v>
      </c>
      <c r="G140" s="44">
        <f>I142</f>
        <v>9400.3731700000008</v>
      </c>
      <c r="H140" s="7" t="s">
        <v>5</v>
      </c>
      <c r="I140" s="37">
        <f t="shared" ref="I140:M141" si="118">I141</f>
        <v>9400.3731700000008</v>
      </c>
      <c r="J140" s="9">
        <f t="shared" si="118"/>
        <v>0</v>
      </c>
      <c r="K140" s="9">
        <f t="shared" si="118"/>
        <v>0</v>
      </c>
      <c r="L140" s="9">
        <f t="shared" si="118"/>
        <v>0</v>
      </c>
      <c r="M140" s="37">
        <f t="shared" si="118"/>
        <v>4700.1865799999996</v>
      </c>
      <c r="N140" s="37">
        <f t="shared" ref="N140:Q141" si="119">N141</f>
        <v>4700.1865799999996</v>
      </c>
      <c r="O140" s="9">
        <f t="shared" si="119"/>
        <v>0</v>
      </c>
      <c r="P140" s="9">
        <f t="shared" si="119"/>
        <v>0</v>
      </c>
      <c r="Q140" s="9">
        <f t="shared" si="119"/>
        <v>0</v>
      </c>
      <c r="R140" s="37">
        <f t="shared" ref="R140:V141" si="120">R141</f>
        <v>4700.1866</v>
      </c>
      <c r="S140" s="37">
        <f t="shared" si="120"/>
        <v>4700.1865900000003</v>
      </c>
      <c r="T140" s="9">
        <f t="shared" si="120"/>
        <v>1.0000000000000001E-5</v>
      </c>
      <c r="U140" s="9">
        <f t="shared" si="120"/>
        <v>0</v>
      </c>
      <c r="V140" s="9">
        <f t="shared" si="120"/>
        <v>0</v>
      </c>
      <c r="W140" s="9">
        <f>W141</f>
        <v>0</v>
      </c>
      <c r="X140" s="9">
        <f t="shared" ref="X140:AA141" si="121">X141</f>
        <v>0</v>
      </c>
      <c r="Y140" s="9">
        <f t="shared" si="121"/>
        <v>0</v>
      </c>
      <c r="Z140" s="9">
        <f t="shared" si="121"/>
        <v>0</v>
      </c>
      <c r="AA140" s="9">
        <f t="shared" si="121"/>
        <v>0</v>
      </c>
      <c r="AB140" s="40" t="s">
        <v>9</v>
      </c>
    </row>
    <row r="141" spans="1:28" ht="60" x14ac:dyDescent="0.25">
      <c r="A141" s="38"/>
      <c r="B141" s="3"/>
      <c r="C141" s="14"/>
      <c r="D141" s="25"/>
      <c r="E141" s="25"/>
      <c r="F141" s="25"/>
      <c r="G141" s="44"/>
      <c r="H141" s="7" t="s">
        <v>6</v>
      </c>
      <c r="I141" s="37">
        <f t="shared" si="118"/>
        <v>9400.3731700000008</v>
      </c>
      <c r="J141" s="9">
        <f t="shared" si="118"/>
        <v>0</v>
      </c>
      <c r="K141" s="9">
        <f t="shared" si="118"/>
        <v>0</v>
      </c>
      <c r="L141" s="9">
        <f t="shared" si="118"/>
        <v>0</v>
      </c>
      <c r="M141" s="37">
        <f t="shared" si="118"/>
        <v>4700.1865799999996</v>
      </c>
      <c r="N141" s="37">
        <f t="shared" si="119"/>
        <v>4700.1865799999996</v>
      </c>
      <c r="O141" s="9">
        <f t="shared" si="119"/>
        <v>0</v>
      </c>
      <c r="P141" s="9">
        <f t="shared" si="119"/>
        <v>0</v>
      </c>
      <c r="Q141" s="9">
        <f t="shared" si="119"/>
        <v>0</v>
      </c>
      <c r="R141" s="37">
        <f t="shared" si="120"/>
        <v>4700.1866</v>
      </c>
      <c r="S141" s="37">
        <f t="shared" si="120"/>
        <v>4700.1865900000003</v>
      </c>
      <c r="T141" s="9">
        <f t="shared" si="120"/>
        <v>1.0000000000000001E-5</v>
      </c>
      <c r="U141" s="9">
        <f t="shared" si="120"/>
        <v>0</v>
      </c>
      <c r="V141" s="9">
        <f t="shared" si="120"/>
        <v>0</v>
      </c>
      <c r="W141" s="9">
        <f>W142</f>
        <v>0</v>
      </c>
      <c r="X141" s="9">
        <f t="shared" si="121"/>
        <v>0</v>
      </c>
      <c r="Y141" s="9">
        <f t="shared" si="121"/>
        <v>0</v>
      </c>
      <c r="Z141" s="9">
        <f t="shared" si="121"/>
        <v>0</v>
      </c>
      <c r="AA141" s="9">
        <f t="shared" si="121"/>
        <v>0</v>
      </c>
      <c r="AB141" s="40"/>
    </row>
    <row r="142" spans="1:28" ht="45" x14ac:dyDescent="0.25">
      <c r="A142" s="33"/>
      <c r="B142" s="4"/>
      <c r="C142" s="14"/>
      <c r="D142" s="25"/>
      <c r="E142" s="25"/>
      <c r="F142" s="25"/>
      <c r="G142" s="44"/>
      <c r="H142" s="7" t="s">
        <v>8</v>
      </c>
      <c r="I142" s="37">
        <v>9400.3731700000008</v>
      </c>
      <c r="J142" s="9">
        <v>0</v>
      </c>
      <c r="K142" s="9">
        <v>0</v>
      </c>
      <c r="L142" s="9">
        <f>J142-K142</f>
        <v>0</v>
      </c>
      <c r="M142" s="37">
        <f>SUM(N142:Q142)</f>
        <v>4700.1865799999996</v>
      </c>
      <c r="N142" s="37">
        <v>4700.1865799999996</v>
      </c>
      <c r="O142" s="9">
        <v>0</v>
      </c>
      <c r="P142" s="9">
        <v>0</v>
      </c>
      <c r="Q142" s="9">
        <v>0</v>
      </c>
      <c r="R142" s="37">
        <f>SUM(S142:U142)</f>
        <v>4700.1866</v>
      </c>
      <c r="S142" s="37">
        <v>4700.1865900000003</v>
      </c>
      <c r="T142" s="9">
        <v>1.0000000000000001E-5</v>
      </c>
      <c r="U142" s="9">
        <v>0</v>
      </c>
      <c r="V142" s="9">
        <f>SUM(W142:AA142)</f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40"/>
    </row>
    <row r="143" spans="1:28" x14ac:dyDescent="0.25">
      <c r="A143" s="38"/>
      <c r="B143" s="2"/>
      <c r="C143" s="14" t="s">
        <v>80</v>
      </c>
      <c r="D143" s="25" t="s">
        <v>27</v>
      </c>
      <c r="E143" s="25">
        <v>2024</v>
      </c>
      <c r="F143" s="25" t="s">
        <v>150</v>
      </c>
      <c r="G143" s="44">
        <f>I145</f>
        <v>3552.7389499999999</v>
      </c>
      <c r="H143" s="7" t="s">
        <v>5</v>
      </c>
      <c r="I143" s="37">
        <f t="shared" ref="I143:M144" si="122">I144</f>
        <v>3552.7389499999999</v>
      </c>
      <c r="J143" s="9">
        <f t="shared" si="122"/>
        <v>0</v>
      </c>
      <c r="K143" s="9">
        <f t="shared" si="122"/>
        <v>0</v>
      </c>
      <c r="L143" s="9">
        <f t="shared" si="122"/>
        <v>0</v>
      </c>
      <c r="M143" s="37">
        <f t="shared" si="122"/>
        <v>1975.16236</v>
      </c>
      <c r="N143" s="37">
        <f t="shared" ref="N143:Q144" si="123">N144</f>
        <v>1975.16236</v>
      </c>
      <c r="O143" s="9">
        <f t="shared" si="123"/>
        <v>0</v>
      </c>
      <c r="P143" s="9">
        <f t="shared" si="123"/>
        <v>0</v>
      </c>
      <c r="Q143" s="9">
        <f t="shared" si="123"/>
        <v>0</v>
      </c>
      <c r="R143" s="37">
        <f t="shared" ref="R143:V144" si="124">R144</f>
        <v>1593.4884200000001</v>
      </c>
      <c r="S143" s="37">
        <f t="shared" si="124"/>
        <v>1577.5765900000001</v>
      </c>
      <c r="T143" s="37">
        <f t="shared" si="124"/>
        <v>15.91183</v>
      </c>
      <c r="U143" s="9">
        <f t="shared" si="124"/>
        <v>0</v>
      </c>
      <c r="V143" s="9">
        <f t="shared" si="124"/>
        <v>0</v>
      </c>
      <c r="W143" s="9">
        <f>W144</f>
        <v>0</v>
      </c>
      <c r="X143" s="9">
        <f t="shared" ref="X143:AA144" si="125">X144</f>
        <v>0</v>
      </c>
      <c r="Y143" s="9">
        <f t="shared" si="125"/>
        <v>0</v>
      </c>
      <c r="Z143" s="9">
        <f t="shared" si="125"/>
        <v>0</v>
      </c>
      <c r="AA143" s="9">
        <f t="shared" si="125"/>
        <v>0</v>
      </c>
      <c r="AB143" s="40" t="s">
        <v>9</v>
      </c>
    </row>
    <row r="144" spans="1:28" ht="60" x14ac:dyDescent="0.25">
      <c r="A144" s="38"/>
      <c r="B144" s="3"/>
      <c r="C144" s="14"/>
      <c r="D144" s="25"/>
      <c r="E144" s="25"/>
      <c r="F144" s="25"/>
      <c r="G144" s="44"/>
      <c r="H144" s="7" t="s">
        <v>6</v>
      </c>
      <c r="I144" s="37">
        <f t="shared" si="122"/>
        <v>3552.7389499999999</v>
      </c>
      <c r="J144" s="9">
        <f t="shared" si="122"/>
        <v>0</v>
      </c>
      <c r="K144" s="9">
        <f t="shared" si="122"/>
        <v>0</v>
      </c>
      <c r="L144" s="9">
        <f t="shared" si="122"/>
        <v>0</v>
      </c>
      <c r="M144" s="37">
        <f t="shared" si="122"/>
        <v>1975.16236</v>
      </c>
      <c r="N144" s="37">
        <f t="shared" si="123"/>
        <v>1975.16236</v>
      </c>
      <c r="O144" s="9">
        <f t="shared" si="123"/>
        <v>0</v>
      </c>
      <c r="P144" s="9">
        <f t="shared" si="123"/>
        <v>0</v>
      </c>
      <c r="Q144" s="9">
        <f t="shared" si="123"/>
        <v>0</v>
      </c>
      <c r="R144" s="37">
        <f t="shared" si="124"/>
        <v>1593.4884200000001</v>
      </c>
      <c r="S144" s="37">
        <f t="shared" si="124"/>
        <v>1577.5765900000001</v>
      </c>
      <c r="T144" s="37">
        <f t="shared" si="124"/>
        <v>15.91183</v>
      </c>
      <c r="U144" s="9">
        <f t="shared" si="124"/>
        <v>0</v>
      </c>
      <c r="V144" s="9">
        <f t="shared" si="124"/>
        <v>0</v>
      </c>
      <c r="W144" s="9">
        <f>W145</f>
        <v>0</v>
      </c>
      <c r="X144" s="9">
        <f t="shared" si="125"/>
        <v>0</v>
      </c>
      <c r="Y144" s="9">
        <f t="shared" si="125"/>
        <v>0</v>
      </c>
      <c r="Z144" s="9">
        <f t="shared" si="125"/>
        <v>0</v>
      </c>
      <c r="AA144" s="9">
        <f t="shared" si="125"/>
        <v>0</v>
      </c>
      <c r="AB144" s="40"/>
    </row>
    <row r="145" spans="1:28" ht="45" x14ac:dyDescent="0.25">
      <c r="A145" s="38"/>
      <c r="B145" s="3"/>
      <c r="C145" s="14"/>
      <c r="D145" s="25"/>
      <c r="E145" s="25"/>
      <c r="F145" s="25"/>
      <c r="G145" s="44"/>
      <c r="H145" s="7" t="s">
        <v>8</v>
      </c>
      <c r="I145" s="42">
        <v>3552.7389499999999</v>
      </c>
      <c r="J145" s="9">
        <v>0</v>
      </c>
      <c r="K145" s="9">
        <v>0</v>
      </c>
      <c r="L145" s="9">
        <f>J145-K145</f>
        <v>0</v>
      </c>
      <c r="M145" s="37">
        <f>SUM(N145:Q145)</f>
        <v>1975.16236</v>
      </c>
      <c r="N145" s="37">
        <v>1975.16236</v>
      </c>
      <c r="O145" s="9">
        <v>0</v>
      </c>
      <c r="P145" s="9">
        <v>0</v>
      </c>
      <c r="Q145" s="9">
        <v>0</v>
      </c>
      <c r="R145" s="37">
        <f>SUM(S145:U145)</f>
        <v>1593.4884200000001</v>
      </c>
      <c r="S145" s="37">
        <f>1975.16236-397.58577</f>
        <v>1577.5765900000001</v>
      </c>
      <c r="T145" s="37">
        <v>15.91183</v>
      </c>
      <c r="U145" s="9">
        <v>0</v>
      </c>
      <c r="V145" s="9">
        <f>SUM(W145:AA145)</f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40"/>
    </row>
    <row r="146" spans="1:28" x14ac:dyDescent="0.25">
      <c r="A146" s="38"/>
      <c r="B146" s="3"/>
      <c r="C146" s="14" t="s">
        <v>82</v>
      </c>
      <c r="D146" s="25" t="s">
        <v>27</v>
      </c>
      <c r="E146" s="25">
        <v>2024</v>
      </c>
      <c r="F146" s="25" t="s">
        <v>149</v>
      </c>
      <c r="G146" s="44">
        <f>I148</f>
        <v>2582.7713400000002</v>
      </c>
      <c r="H146" s="7" t="s">
        <v>5</v>
      </c>
      <c r="I146" s="37">
        <f t="shared" ref="I146:M147" si="126">I147</f>
        <v>2582.7713400000002</v>
      </c>
      <c r="J146" s="9">
        <f t="shared" si="126"/>
        <v>0</v>
      </c>
      <c r="K146" s="9">
        <f t="shared" si="126"/>
        <v>0</v>
      </c>
      <c r="L146" s="9">
        <f t="shared" si="126"/>
        <v>0</v>
      </c>
      <c r="M146" s="37">
        <f t="shared" si="126"/>
        <v>1404.28</v>
      </c>
      <c r="N146" s="37">
        <f t="shared" ref="N146:Q147" si="127">N147</f>
        <v>1404.28</v>
      </c>
      <c r="O146" s="9">
        <f t="shared" si="127"/>
        <v>0</v>
      </c>
      <c r="P146" s="9">
        <f t="shared" si="127"/>
        <v>0</v>
      </c>
      <c r="Q146" s="9">
        <f t="shared" si="127"/>
        <v>0</v>
      </c>
      <c r="R146" s="37">
        <f t="shared" ref="R146:V147" si="128">R147</f>
        <v>1178.49134</v>
      </c>
      <c r="S146" s="37">
        <f t="shared" si="128"/>
        <v>1178.49134</v>
      </c>
      <c r="T146" s="9">
        <f t="shared" si="128"/>
        <v>0</v>
      </c>
      <c r="U146" s="9">
        <f t="shared" si="128"/>
        <v>0</v>
      </c>
      <c r="V146" s="9">
        <f t="shared" si="128"/>
        <v>0</v>
      </c>
      <c r="W146" s="9">
        <f>W147</f>
        <v>0</v>
      </c>
      <c r="X146" s="9">
        <f t="shared" ref="X146:AA147" si="129">X147</f>
        <v>0</v>
      </c>
      <c r="Y146" s="9">
        <f t="shared" si="129"/>
        <v>0</v>
      </c>
      <c r="Z146" s="9">
        <f t="shared" si="129"/>
        <v>0</v>
      </c>
      <c r="AA146" s="9">
        <f t="shared" si="129"/>
        <v>0</v>
      </c>
      <c r="AB146" s="40" t="s">
        <v>9</v>
      </c>
    </row>
    <row r="147" spans="1:28" ht="60" x14ac:dyDescent="0.25">
      <c r="A147" s="38"/>
      <c r="B147" s="3"/>
      <c r="C147" s="14"/>
      <c r="D147" s="25"/>
      <c r="E147" s="25"/>
      <c r="F147" s="25"/>
      <c r="G147" s="44"/>
      <c r="H147" s="7" t="s">
        <v>6</v>
      </c>
      <c r="I147" s="37">
        <f t="shared" si="126"/>
        <v>2582.7713400000002</v>
      </c>
      <c r="J147" s="9">
        <f t="shared" si="126"/>
        <v>0</v>
      </c>
      <c r="K147" s="9">
        <f t="shared" si="126"/>
        <v>0</v>
      </c>
      <c r="L147" s="9">
        <f t="shared" si="126"/>
        <v>0</v>
      </c>
      <c r="M147" s="37">
        <f t="shared" si="126"/>
        <v>1404.28</v>
      </c>
      <c r="N147" s="37">
        <f t="shared" si="127"/>
        <v>1404.28</v>
      </c>
      <c r="O147" s="9">
        <f t="shared" si="127"/>
        <v>0</v>
      </c>
      <c r="P147" s="9">
        <f t="shared" si="127"/>
        <v>0</v>
      </c>
      <c r="Q147" s="9">
        <f t="shared" si="127"/>
        <v>0</v>
      </c>
      <c r="R147" s="37">
        <f t="shared" si="128"/>
        <v>1178.49134</v>
      </c>
      <c r="S147" s="37">
        <f t="shared" si="128"/>
        <v>1178.49134</v>
      </c>
      <c r="T147" s="9">
        <f t="shared" si="128"/>
        <v>0</v>
      </c>
      <c r="U147" s="9">
        <f t="shared" si="128"/>
        <v>0</v>
      </c>
      <c r="V147" s="9">
        <f t="shared" si="128"/>
        <v>0</v>
      </c>
      <c r="W147" s="9">
        <f>W148</f>
        <v>0</v>
      </c>
      <c r="X147" s="9">
        <f t="shared" si="129"/>
        <v>0</v>
      </c>
      <c r="Y147" s="9">
        <f t="shared" si="129"/>
        <v>0</v>
      </c>
      <c r="Z147" s="9">
        <f t="shared" si="129"/>
        <v>0</v>
      </c>
      <c r="AA147" s="9">
        <f t="shared" si="129"/>
        <v>0</v>
      </c>
      <c r="AB147" s="40"/>
    </row>
    <row r="148" spans="1:28" ht="64.5" customHeight="1" x14ac:dyDescent="0.25">
      <c r="A148" s="38"/>
      <c r="B148" s="3"/>
      <c r="C148" s="14"/>
      <c r="D148" s="25"/>
      <c r="E148" s="25"/>
      <c r="F148" s="25"/>
      <c r="G148" s="44"/>
      <c r="H148" s="7" t="s">
        <v>8</v>
      </c>
      <c r="I148" s="42">
        <v>2582.7713400000002</v>
      </c>
      <c r="J148" s="9">
        <v>0</v>
      </c>
      <c r="K148" s="9">
        <v>0</v>
      </c>
      <c r="L148" s="9">
        <f>J148-K148</f>
        <v>0</v>
      </c>
      <c r="M148" s="37">
        <f>SUM(N148:Q148)</f>
        <v>1404.28</v>
      </c>
      <c r="N148" s="37">
        <v>1404.28</v>
      </c>
      <c r="O148" s="9">
        <v>0</v>
      </c>
      <c r="P148" s="9">
        <v>0</v>
      </c>
      <c r="Q148" s="9">
        <v>0</v>
      </c>
      <c r="R148" s="37">
        <f>SUM(S148:U148)</f>
        <v>1178.49134</v>
      </c>
      <c r="S148" s="37">
        <f>1404.28-225.78866</f>
        <v>1178.49134</v>
      </c>
      <c r="T148" s="9">
        <v>0</v>
      </c>
      <c r="U148" s="9">
        <v>0</v>
      </c>
      <c r="V148" s="9">
        <f>SUM(W148:AA148)</f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40"/>
    </row>
    <row r="149" spans="1:28" x14ac:dyDescent="0.25">
      <c r="A149" s="38"/>
      <c r="B149" s="3"/>
      <c r="C149" s="14" t="s">
        <v>81</v>
      </c>
      <c r="D149" s="25" t="s">
        <v>27</v>
      </c>
      <c r="E149" s="25">
        <v>2024</v>
      </c>
      <c r="F149" s="25" t="s">
        <v>148</v>
      </c>
      <c r="G149" s="47">
        <f>I151</f>
        <v>36671.076679999998</v>
      </c>
      <c r="H149" s="7" t="s">
        <v>5</v>
      </c>
      <c r="I149" s="42">
        <f t="shared" ref="I149:M150" si="130">I150</f>
        <v>36671.076679999998</v>
      </c>
      <c r="J149" s="9">
        <f t="shared" si="130"/>
        <v>0</v>
      </c>
      <c r="K149" s="9">
        <f t="shared" si="130"/>
        <v>0</v>
      </c>
      <c r="L149" s="9">
        <f t="shared" si="130"/>
        <v>0</v>
      </c>
      <c r="M149" s="42">
        <f t="shared" si="130"/>
        <v>18550.101259999999</v>
      </c>
      <c r="N149" s="42">
        <f t="shared" ref="N149:Q150" si="131">N150</f>
        <v>18550.101259999999</v>
      </c>
      <c r="O149" s="9">
        <f t="shared" si="131"/>
        <v>0</v>
      </c>
      <c r="P149" s="9">
        <f t="shared" si="131"/>
        <v>0</v>
      </c>
      <c r="Q149" s="9">
        <f t="shared" si="131"/>
        <v>0</v>
      </c>
      <c r="R149" s="37">
        <f t="shared" ref="R149:V150" si="132">R150</f>
        <v>18120.975419999999</v>
      </c>
      <c r="S149" s="37">
        <f t="shared" si="132"/>
        <v>18120.975419999999</v>
      </c>
      <c r="T149" s="9">
        <f t="shared" si="132"/>
        <v>0</v>
      </c>
      <c r="U149" s="9">
        <f t="shared" si="132"/>
        <v>0</v>
      </c>
      <c r="V149" s="9">
        <f t="shared" si="132"/>
        <v>0</v>
      </c>
      <c r="W149" s="9">
        <f>W150</f>
        <v>0</v>
      </c>
      <c r="X149" s="9">
        <f t="shared" ref="X149:AA150" si="133">X150</f>
        <v>0</v>
      </c>
      <c r="Y149" s="9">
        <f t="shared" si="133"/>
        <v>0</v>
      </c>
      <c r="Z149" s="9">
        <f t="shared" si="133"/>
        <v>0</v>
      </c>
      <c r="AA149" s="9">
        <f t="shared" si="133"/>
        <v>0</v>
      </c>
      <c r="AB149" s="40" t="s">
        <v>9</v>
      </c>
    </row>
    <row r="150" spans="1:28" ht="60" x14ac:dyDescent="0.25">
      <c r="A150" s="38"/>
      <c r="B150" s="3"/>
      <c r="C150" s="14"/>
      <c r="D150" s="25"/>
      <c r="E150" s="25"/>
      <c r="F150" s="25"/>
      <c r="G150" s="47"/>
      <c r="H150" s="7" t="s">
        <v>6</v>
      </c>
      <c r="I150" s="42">
        <f t="shared" si="130"/>
        <v>36671.076679999998</v>
      </c>
      <c r="J150" s="9">
        <f t="shared" si="130"/>
        <v>0</v>
      </c>
      <c r="K150" s="9">
        <f t="shared" si="130"/>
        <v>0</v>
      </c>
      <c r="L150" s="9">
        <f t="shared" si="130"/>
        <v>0</v>
      </c>
      <c r="M150" s="42">
        <f t="shared" si="130"/>
        <v>18550.101259999999</v>
      </c>
      <c r="N150" s="42">
        <f t="shared" si="131"/>
        <v>18550.101259999999</v>
      </c>
      <c r="O150" s="9">
        <f t="shared" si="131"/>
        <v>0</v>
      </c>
      <c r="P150" s="9">
        <f t="shared" si="131"/>
        <v>0</v>
      </c>
      <c r="Q150" s="9">
        <f t="shared" si="131"/>
        <v>0</v>
      </c>
      <c r="R150" s="37">
        <f t="shared" si="132"/>
        <v>18120.975419999999</v>
      </c>
      <c r="S150" s="37">
        <f t="shared" si="132"/>
        <v>18120.975419999999</v>
      </c>
      <c r="T150" s="9">
        <f t="shared" si="132"/>
        <v>0</v>
      </c>
      <c r="U150" s="9">
        <f t="shared" si="132"/>
        <v>0</v>
      </c>
      <c r="V150" s="9">
        <f t="shared" si="132"/>
        <v>0</v>
      </c>
      <c r="W150" s="9">
        <f>W151</f>
        <v>0</v>
      </c>
      <c r="X150" s="9">
        <f t="shared" si="133"/>
        <v>0</v>
      </c>
      <c r="Y150" s="9">
        <f t="shared" si="133"/>
        <v>0</v>
      </c>
      <c r="Z150" s="9">
        <f t="shared" si="133"/>
        <v>0</v>
      </c>
      <c r="AA150" s="9">
        <f t="shared" si="133"/>
        <v>0</v>
      </c>
      <c r="AB150" s="40"/>
    </row>
    <row r="151" spans="1:28" ht="63.75" customHeight="1" x14ac:dyDescent="0.25">
      <c r="A151" s="38"/>
      <c r="B151" s="3"/>
      <c r="C151" s="14"/>
      <c r="D151" s="25"/>
      <c r="E151" s="25"/>
      <c r="F151" s="25"/>
      <c r="G151" s="47"/>
      <c r="H151" s="7" t="s">
        <v>8</v>
      </c>
      <c r="I151" s="42">
        <v>36671.076679999998</v>
      </c>
      <c r="J151" s="9">
        <v>0</v>
      </c>
      <c r="K151" s="9">
        <v>0</v>
      </c>
      <c r="L151" s="9">
        <f>J151-K151</f>
        <v>0</v>
      </c>
      <c r="M151" s="42">
        <f>SUM(N151:Q151)</f>
        <v>18550.101259999999</v>
      </c>
      <c r="N151" s="42">
        <v>18550.101259999999</v>
      </c>
      <c r="O151" s="9">
        <v>0</v>
      </c>
      <c r="P151" s="9">
        <v>0</v>
      </c>
      <c r="Q151" s="9">
        <v>0</v>
      </c>
      <c r="R151" s="37">
        <f>SUM(S151:U151)</f>
        <v>18120.975419999999</v>
      </c>
      <c r="S151" s="37">
        <f>18550.10127-429.12585</f>
        <v>18120.975419999999</v>
      </c>
      <c r="T151" s="9">
        <v>0</v>
      </c>
      <c r="U151" s="9">
        <v>0</v>
      </c>
      <c r="V151" s="9">
        <f>SUM(W151:AA151)</f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40"/>
    </row>
    <row r="152" spans="1:28" x14ac:dyDescent="0.25">
      <c r="A152" s="38"/>
      <c r="B152" s="3"/>
      <c r="C152" s="14" t="s">
        <v>55</v>
      </c>
      <c r="D152" s="25" t="s">
        <v>27</v>
      </c>
      <c r="E152" s="25">
        <v>2024</v>
      </c>
      <c r="F152" s="25" t="s">
        <v>147</v>
      </c>
      <c r="G152" s="44">
        <f>I154</f>
        <v>17050.23</v>
      </c>
      <c r="H152" s="7" t="s">
        <v>5</v>
      </c>
      <c r="I152" s="37">
        <f t="shared" ref="I152:M153" si="134">I153</f>
        <v>17050.23</v>
      </c>
      <c r="J152" s="9">
        <f t="shared" si="134"/>
        <v>0</v>
      </c>
      <c r="K152" s="9">
        <f t="shared" si="134"/>
        <v>0</v>
      </c>
      <c r="L152" s="9">
        <f t="shared" si="134"/>
        <v>0</v>
      </c>
      <c r="M152" s="37">
        <f t="shared" si="134"/>
        <v>8525.11</v>
      </c>
      <c r="N152" s="37">
        <f t="shared" ref="N152:Q153" si="135">N153</f>
        <v>5164.3491400000003</v>
      </c>
      <c r="O152" s="9">
        <f t="shared" si="135"/>
        <v>0</v>
      </c>
      <c r="P152" s="9">
        <f t="shared" si="135"/>
        <v>0</v>
      </c>
      <c r="Q152" s="37">
        <f t="shared" si="135"/>
        <v>3360.7608599999999</v>
      </c>
      <c r="R152" s="37">
        <f t="shared" ref="R152:V153" si="136">R153</f>
        <v>8525.1200000000008</v>
      </c>
      <c r="S152" s="37">
        <f t="shared" si="136"/>
        <v>8525.1200000000008</v>
      </c>
      <c r="T152" s="9">
        <f t="shared" si="136"/>
        <v>0</v>
      </c>
      <c r="U152" s="9">
        <f t="shared" si="136"/>
        <v>0</v>
      </c>
      <c r="V152" s="9">
        <f t="shared" si="136"/>
        <v>0</v>
      </c>
      <c r="W152" s="9">
        <f>W153</f>
        <v>0</v>
      </c>
      <c r="X152" s="9">
        <f t="shared" ref="X152:AA153" si="137">X153</f>
        <v>0</v>
      </c>
      <c r="Y152" s="9">
        <f t="shared" si="137"/>
        <v>0</v>
      </c>
      <c r="Z152" s="9">
        <f t="shared" si="137"/>
        <v>0</v>
      </c>
      <c r="AA152" s="9">
        <f t="shared" si="137"/>
        <v>0</v>
      </c>
      <c r="AB152" s="40" t="s">
        <v>9</v>
      </c>
    </row>
    <row r="153" spans="1:28" ht="60" x14ac:dyDescent="0.25">
      <c r="A153" s="38"/>
      <c r="B153" s="3"/>
      <c r="C153" s="14"/>
      <c r="D153" s="25"/>
      <c r="E153" s="25"/>
      <c r="F153" s="25"/>
      <c r="G153" s="44"/>
      <c r="H153" s="7" t="s">
        <v>6</v>
      </c>
      <c r="I153" s="37">
        <f t="shared" si="134"/>
        <v>17050.23</v>
      </c>
      <c r="J153" s="9">
        <f t="shared" si="134"/>
        <v>0</v>
      </c>
      <c r="K153" s="9">
        <f t="shared" si="134"/>
        <v>0</v>
      </c>
      <c r="L153" s="9">
        <f t="shared" si="134"/>
        <v>0</v>
      </c>
      <c r="M153" s="37">
        <f t="shared" si="134"/>
        <v>8525.11</v>
      </c>
      <c r="N153" s="37">
        <f t="shared" si="135"/>
        <v>5164.3491400000003</v>
      </c>
      <c r="O153" s="9">
        <f t="shared" si="135"/>
        <v>0</v>
      </c>
      <c r="P153" s="9">
        <f t="shared" si="135"/>
        <v>0</v>
      </c>
      <c r="Q153" s="37">
        <f t="shared" si="135"/>
        <v>3360.7608599999999</v>
      </c>
      <c r="R153" s="37">
        <f t="shared" si="136"/>
        <v>8525.1200000000008</v>
      </c>
      <c r="S153" s="37">
        <f t="shared" si="136"/>
        <v>8525.1200000000008</v>
      </c>
      <c r="T153" s="9">
        <f t="shared" si="136"/>
        <v>0</v>
      </c>
      <c r="U153" s="9">
        <f t="shared" si="136"/>
        <v>0</v>
      </c>
      <c r="V153" s="9">
        <f t="shared" si="136"/>
        <v>0</v>
      </c>
      <c r="W153" s="9">
        <f>W154</f>
        <v>0</v>
      </c>
      <c r="X153" s="9">
        <f t="shared" si="137"/>
        <v>0</v>
      </c>
      <c r="Y153" s="9">
        <f t="shared" si="137"/>
        <v>0</v>
      </c>
      <c r="Z153" s="9">
        <f t="shared" si="137"/>
        <v>0</v>
      </c>
      <c r="AA153" s="9">
        <f t="shared" si="137"/>
        <v>0</v>
      </c>
      <c r="AB153" s="40"/>
    </row>
    <row r="154" spans="1:28" ht="45" x14ac:dyDescent="0.25">
      <c r="A154" s="33"/>
      <c r="B154" s="3"/>
      <c r="C154" s="14"/>
      <c r="D154" s="25"/>
      <c r="E154" s="25"/>
      <c r="F154" s="25"/>
      <c r="G154" s="44"/>
      <c r="H154" s="7" t="s">
        <v>8</v>
      </c>
      <c r="I154" s="37">
        <v>17050.23</v>
      </c>
      <c r="J154" s="9">
        <v>0</v>
      </c>
      <c r="K154" s="9">
        <v>0</v>
      </c>
      <c r="L154" s="9">
        <f>J154-K154</f>
        <v>0</v>
      </c>
      <c r="M154" s="37">
        <f>SUM(N154:Q154)</f>
        <v>8525.11</v>
      </c>
      <c r="N154" s="37">
        <f>8525.11-3360.76086</f>
        <v>5164.3491400000003</v>
      </c>
      <c r="O154" s="9">
        <v>0</v>
      </c>
      <c r="P154" s="9">
        <v>0</v>
      </c>
      <c r="Q154" s="37">
        <f>2397.76739+N139</f>
        <v>3360.7608599999999</v>
      </c>
      <c r="R154" s="37">
        <f>SUM(S154:U154)</f>
        <v>8525.1200000000008</v>
      </c>
      <c r="S154" s="37">
        <v>8525.1200000000008</v>
      </c>
      <c r="T154" s="9">
        <v>0</v>
      </c>
      <c r="U154" s="9">
        <v>0</v>
      </c>
      <c r="V154" s="9">
        <f>SUM(W154:AA154)</f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40"/>
    </row>
    <row r="155" spans="1:28" ht="168.75" customHeight="1" x14ac:dyDescent="0.25">
      <c r="A155" s="36" t="s">
        <v>39</v>
      </c>
      <c r="B155" s="2" t="s">
        <v>41</v>
      </c>
      <c r="C155" s="14"/>
      <c r="D155" s="25" t="s">
        <v>4</v>
      </c>
      <c r="E155" s="25" t="s">
        <v>4</v>
      </c>
      <c r="F155" s="25" t="s">
        <v>4</v>
      </c>
      <c r="G155" s="25" t="s">
        <v>4</v>
      </c>
      <c r="H155" s="7" t="s">
        <v>5</v>
      </c>
      <c r="I155" s="37">
        <f t="shared" ref="I155:M156" si="138">I156</f>
        <v>1356482.95609</v>
      </c>
      <c r="J155" s="37">
        <f t="shared" si="138"/>
        <v>86806.86</v>
      </c>
      <c r="K155" s="37">
        <f t="shared" si="138"/>
        <v>86806.86</v>
      </c>
      <c r="L155" s="9">
        <f t="shared" si="138"/>
        <v>0</v>
      </c>
      <c r="M155" s="37">
        <f t="shared" si="138"/>
        <v>370832.10943000001</v>
      </c>
      <c r="N155" s="37">
        <f t="shared" ref="N155:R156" si="139">N156</f>
        <v>370832.10943000001</v>
      </c>
      <c r="O155" s="9">
        <f t="shared" si="139"/>
        <v>0</v>
      </c>
      <c r="P155" s="9">
        <f t="shared" si="139"/>
        <v>0</v>
      </c>
      <c r="Q155" s="9">
        <f t="shared" si="139"/>
        <v>0</v>
      </c>
      <c r="R155" s="37">
        <f t="shared" si="139"/>
        <v>281423.88509000005</v>
      </c>
      <c r="S155" s="37">
        <f t="shared" ref="S155:V156" si="140">S156</f>
        <v>275548.82079000003</v>
      </c>
      <c r="T155" s="37">
        <f t="shared" si="140"/>
        <v>5875.0643</v>
      </c>
      <c r="U155" s="9">
        <f t="shared" si="140"/>
        <v>0</v>
      </c>
      <c r="V155" s="37">
        <f t="shared" si="140"/>
        <v>784786.37849000003</v>
      </c>
      <c r="W155" s="37">
        <f>W156</f>
        <v>329999.10686000006</v>
      </c>
      <c r="X155" s="37">
        <f t="shared" ref="X155:AA156" si="141">X156</f>
        <v>114859.14689999999</v>
      </c>
      <c r="Y155" s="37">
        <f t="shared" si="141"/>
        <v>5344.2847599999996</v>
      </c>
      <c r="Z155" s="37">
        <f t="shared" si="141"/>
        <v>41287.780959999989</v>
      </c>
      <c r="AA155" s="37">
        <f t="shared" si="141"/>
        <v>293296.05900999997</v>
      </c>
      <c r="AB155" s="29" t="s">
        <v>4</v>
      </c>
    </row>
    <row r="156" spans="1:28" ht="60" x14ac:dyDescent="0.25">
      <c r="A156" s="38"/>
      <c r="B156" s="3"/>
      <c r="C156" s="14"/>
      <c r="D156" s="25"/>
      <c r="E156" s="25"/>
      <c r="F156" s="25"/>
      <c r="G156" s="25"/>
      <c r="H156" s="7" t="s">
        <v>6</v>
      </c>
      <c r="I156" s="37">
        <f t="shared" si="138"/>
        <v>1356482.95609</v>
      </c>
      <c r="J156" s="37">
        <f t="shared" si="138"/>
        <v>86806.86</v>
      </c>
      <c r="K156" s="37">
        <f t="shared" si="138"/>
        <v>86806.86</v>
      </c>
      <c r="L156" s="9">
        <f t="shared" si="138"/>
        <v>0</v>
      </c>
      <c r="M156" s="37">
        <f t="shared" si="138"/>
        <v>370832.10943000001</v>
      </c>
      <c r="N156" s="37">
        <f t="shared" si="139"/>
        <v>370832.10943000001</v>
      </c>
      <c r="O156" s="9">
        <f t="shared" si="139"/>
        <v>0</v>
      </c>
      <c r="P156" s="9">
        <f t="shared" si="139"/>
        <v>0</v>
      </c>
      <c r="Q156" s="9">
        <f t="shared" si="139"/>
        <v>0</v>
      </c>
      <c r="R156" s="37">
        <f t="shared" si="139"/>
        <v>281423.88509000005</v>
      </c>
      <c r="S156" s="37">
        <f t="shared" si="140"/>
        <v>275548.82079000003</v>
      </c>
      <c r="T156" s="37">
        <f t="shared" si="140"/>
        <v>5875.0643</v>
      </c>
      <c r="U156" s="9">
        <f t="shared" si="140"/>
        <v>0</v>
      </c>
      <c r="V156" s="37">
        <f t="shared" si="140"/>
        <v>784786.37849000003</v>
      </c>
      <c r="W156" s="37">
        <f>W157</f>
        <v>329999.10686000006</v>
      </c>
      <c r="X156" s="37">
        <f t="shared" si="141"/>
        <v>114859.14689999999</v>
      </c>
      <c r="Y156" s="37">
        <f t="shared" si="141"/>
        <v>5344.2847599999996</v>
      </c>
      <c r="Z156" s="37">
        <f t="shared" si="141"/>
        <v>41287.780959999989</v>
      </c>
      <c r="AA156" s="37">
        <f t="shared" si="141"/>
        <v>293296.05900999997</v>
      </c>
      <c r="AB156" s="29"/>
    </row>
    <row r="157" spans="1:28" ht="45" x14ac:dyDescent="0.25">
      <c r="A157" s="33"/>
      <c r="B157" s="4"/>
      <c r="C157" s="14"/>
      <c r="D157" s="25"/>
      <c r="E157" s="25"/>
      <c r="F157" s="25"/>
      <c r="G157" s="25"/>
      <c r="H157" s="7" t="s">
        <v>8</v>
      </c>
      <c r="I157" s="37">
        <f>I160+I163+I166+I169+I172+I175+I178</f>
        <v>1356482.95609</v>
      </c>
      <c r="J157" s="37">
        <f>J160+J163+J166+J169+J172+J175+J178</f>
        <v>86806.86</v>
      </c>
      <c r="K157" s="37">
        <f>K160+K163+K166+K169+K172+K175+K178</f>
        <v>86806.86</v>
      </c>
      <c r="L157" s="9">
        <f>L160+L163+L166+L169+L172+L175+L178</f>
        <v>0</v>
      </c>
      <c r="M157" s="37">
        <f>SUM(N157:Q157)</f>
        <v>370832.10943000001</v>
      </c>
      <c r="N157" s="37">
        <f>N160+N163+N166+N169+N172+N175+N178</f>
        <v>370832.10943000001</v>
      </c>
      <c r="O157" s="9">
        <f t="shared" ref="O157:Q157" si="142">O160+O163+O166+O169+O172+O175+O178</f>
        <v>0</v>
      </c>
      <c r="P157" s="9">
        <f t="shared" si="142"/>
        <v>0</v>
      </c>
      <c r="Q157" s="9">
        <f t="shared" si="142"/>
        <v>0</v>
      </c>
      <c r="R157" s="42">
        <f>SUM(S157:U157)</f>
        <v>281423.88509000005</v>
      </c>
      <c r="S157" s="37">
        <f t="shared" ref="S157:W157" si="143">S160+S163+S166+S169+S172+S175+S178</f>
        <v>275548.82079000003</v>
      </c>
      <c r="T157" s="37">
        <f t="shared" si="143"/>
        <v>5875.0643</v>
      </c>
      <c r="U157" s="9">
        <f t="shared" si="143"/>
        <v>0</v>
      </c>
      <c r="V157" s="37">
        <f>SUM(W157:AA157)</f>
        <v>784786.37849000003</v>
      </c>
      <c r="W157" s="37">
        <f t="shared" si="143"/>
        <v>329999.10686000006</v>
      </c>
      <c r="X157" s="37">
        <f t="shared" ref="X157:AA157" si="144">X160+X163+X166+X169+X172+X175+X178</f>
        <v>114859.14689999999</v>
      </c>
      <c r="Y157" s="37">
        <f t="shared" si="144"/>
        <v>5344.2847599999996</v>
      </c>
      <c r="Z157" s="37">
        <f t="shared" si="144"/>
        <v>41287.780959999989</v>
      </c>
      <c r="AA157" s="37">
        <f t="shared" si="144"/>
        <v>293296.05900999997</v>
      </c>
      <c r="AB157" s="29"/>
    </row>
    <row r="158" spans="1:28" x14ac:dyDescent="0.25">
      <c r="A158" s="38"/>
      <c r="B158" s="2"/>
      <c r="C158" s="14" t="s">
        <v>42</v>
      </c>
      <c r="D158" s="25" t="s">
        <v>104</v>
      </c>
      <c r="E158" s="25">
        <v>2025</v>
      </c>
      <c r="F158" s="25" t="s">
        <v>43</v>
      </c>
      <c r="G158" s="39">
        <f>I160</f>
        <v>500000</v>
      </c>
      <c r="H158" s="7" t="s">
        <v>5</v>
      </c>
      <c r="I158" s="9">
        <f t="shared" ref="I158:M159" si="145">I159</f>
        <v>500000</v>
      </c>
      <c r="J158" s="9">
        <f t="shared" si="145"/>
        <v>0</v>
      </c>
      <c r="K158" s="9">
        <f t="shared" si="145"/>
        <v>0</v>
      </c>
      <c r="L158" s="9">
        <f t="shared" si="145"/>
        <v>0</v>
      </c>
      <c r="M158" s="9">
        <f t="shared" si="145"/>
        <v>250000</v>
      </c>
      <c r="N158" s="9">
        <f t="shared" ref="N158:Q159" si="146">N159</f>
        <v>250000</v>
      </c>
      <c r="O158" s="9">
        <f t="shared" si="146"/>
        <v>0</v>
      </c>
      <c r="P158" s="9">
        <f t="shared" si="146"/>
        <v>0</v>
      </c>
      <c r="Q158" s="9">
        <f t="shared" si="146"/>
        <v>0</v>
      </c>
      <c r="R158" s="37">
        <f t="shared" ref="R158:V159" si="147">R159</f>
        <v>205344.28476000001</v>
      </c>
      <c r="S158" s="9">
        <f t="shared" si="147"/>
        <v>200000</v>
      </c>
      <c r="T158" s="37">
        <f t="shared" si="147"/>
        <v>5344.2847599999996</v>
      </c>
      <c r="U158" s="9">
        <f t="shared" si="147"/>
        <v>0</v>
      </c>
      <c r="V158" s="37">
        <f t="shared" si="147"/>
        <v>150832.03182999999</v>
      </c>
      <c r="W158" s="37">
        <f>W159</f>
        <v>50000</v>
      </c>
      <c r="X158" s="37">
        <f t="shared" ref="X158:AA159" si="148">X159</f>
        <v>95487.747069999998</v>
      </c>
      <c r="Y158" s="37">
        <f t="shared" si="148"/>
        <v>5344.2847599999996</v>
      </c>
      <c r="Z158" s="9">
        <f t="shared" si="148"/>
        <v>0</v>
      </c>
      <c r="AA158" s="9">
        <f t="shared" si="148"/>
        <v>0</v>
      </c>
      <c r="AB158" s="40" t="s">
        <v>9</v>
      </c>
    </row>
    <row r="159" spans="1:28" ht="60" x14ac:dyDescent="0.25">
      <c r="A159" s="38"/>
      <c r="B159" s="3"/>
      <c r="C159" s="14"/>
      <c r="D159" s="25"/>
      <c r="E159" s="25"/>
      <c r="F159" s="25"/>
      <c r="G159" s="39"/>
      <c r="H159" s="7" t="s">
        <v>6</v>
      </c>
      <c r="I159" s="9">
        <f t="shared" si="145"/>
        <v>500000</v>
      </c>
      <c r="J159" s="9">
        <f t="shared" si="145"/>
        <v>0</v>
      </c>
      <c r="K159" s="9">
        <f t="shared" si="145"/>
        <v>0</v>
      </c>
      <c r="L159" s="9">
        <f t="shared" si="145"/>
        <v>0</v>
      </c>
      <c r="M159" s="9">
        <f t="shared" si="145"/>
        <v>250000</v>
      </c>
      <c r="N159" s="9">
        <f t="shared" si="146"/>
        <v>250000</v>
      </c>
      <c r="O159" s="9">
        <f t="shared" si="146"/>
        <v>0</v>
      </c>
      <c r="P159" s="9">
        <f t="shared" si="146"/>
        <v>0</v>
      </c>
      <c r="Q159" s="9">
        <f t="shared" si="146"/>
        <v>0</v>
      </c>
      <c r="R159" s="37">
        <f t="shared" si="147"/>
        <v>205344.28476000001</v>
      </c>
      <c r="S159" s="9">
        <f t="shared" si="147"/>
        <v>200000</v>
      </c>
      <c r="T159" s="37">
        <f t="shared" si="147"/>
        <v>5344.2847599999996</v>
      </c>
      <c r="U159" s="9">
        <f t="shared" si="147"/>
        <v>0</v>
      </c>
      <c r="V159" s="37">
        <f t="shared" si="147"/>
        <v>150832.03182999999</v>
      </c>
      <c r="W159" s="37">
        <f>W160</f>
        <v>50000</v>
      </c>
      <c r="X159" s="37">
        <f t="shared" si="148"/>
        <v>95487.747069999998</v>
      </c>
      <c r="Y159" s="37">
        <f t="shared" si="148"/>
        <v>5344.2847599999996</v>
      </c>
      <c r="Z159" s="9">
        <f t="shared" si="148"/>
        <v>0</v>
      </c>
      <c r="AA159" s="9">
        <f t="shared" si="148"/>
        <v>0</v>
      </c>
      <c r="AB159" s="40"/>
    </row>
    <row r="160" spans="1:28" ht="45" x14ac:dyDescent="0.25">
      <c r="A160" s="38"/>
      <c r="B160" s="3"/>
      <c r="C160" s="14"/>
      <c r="D160" s="25"/>
      <c r="E160" s="25"/>
      <c r="F160" s="25"/>
      <c r="G160" s="39"/>
      <c r="H160" s="7" t="s">
        <v>8</v>
      </c>
      <c r="I160" s="9">
        <v>500000</v>
      </c>
      <c r="J160" s="9">
        <v>0</v>
      </c>
      <c r="K160" s="9">
        <v>0</v>
      </c>
      <c r="L160" s="9">
        <f>J160-K160</f>
        <v>0</v>
      </c>
      <c r="M160" s="9">
        <f>SUM(N160:Q160)</f>
        <v>250000</v>
      </c>
      <c r="N160" s="9">
        <v>250000</v>
      </c>
      <c r="O160" s="9">
        <v>0</v>
      </c>
      <c r="P160" s="9">
        <v>0</v>
      </c>
      <c r="Q160" s="9">
        <v>0</v>
      </c>
      <c r="R160" s="37">
        <f>SUM(S160:U160)</f>
        <v>205344.28476000001</v>
      </c>
      <c r="S160" s="9">
        <f>200000</f>
        <v>200000</v>
      </c>
      <c r="T160" s="37">
        <v>5344.2847599999996</v>
      </c>
      <c r="U160" s="9">
        <v>0</v>
      </c>
      <c r="V160" s="37">
        <f>SUM(W160:AA160)</f>
        <v>150832.03182999999</v>
      </c>
      <c r="W160" s="37">
        <f>50000</f>
        <v>50000</v>
      </c>
      <c r="X160" s="48">
        <f>95487.74707</f>
        <v>95487.747069999998</v>
      </c>
      <c r="Y160" s="48">
        <v>5344.2847599999996</v>
      </c>
      <c r="Z160" s="41">
        <v>0</v>
      </c>
      <c r="AA160" s="41">
        <v>0</v>
      </c>
      <c r="AB160" s="40"/>
    </row>
    <row r="161" spans="1:28" x14ac:dyDescent="0.25">
      <c r="A161" s="38"/>
      <c r="B161" s="3"/>
      <c r="C161" s="14" t="s">
        <v>97</v>
      </c>
      <c r="D161" s="25" t="s">
        <v>27</v>
      </c>
      <c r="E161" s="25">
        <v>2024</v>
      </c>
      <c r="F161" s="25" t="s">
        <v>44</v>
      </c>
      <c r="G161" s="44">
        <f>I163</f>
        <v>59353.939769999997</v>
      </c>
      <c r="H161" s="7" t="s">
        <v>5</v>
      </c>
      <c r="I161" s="37">
        <f t="shared" ref="I161:M162" si="149">I162</f>
        <v>59353.939769999997</v>
      </c>
      <c r="J161" s="9">
        <f t="shared" si="149"/>
        <v>0</v>
      </c>
      <c r="K161" s="9">
        <f t="shared" si="149"/>
        <v>0</v>
      </c>
      <c r="L161" s="9">
        <f t="shared" si="149"/>
        <v>0</v>
      </c>
      <c r="M161" s="37">
        <f t="shared" si="149"/>
        <v>39982.539940000002</v>
      </c>
      <c r="N161" s="37">
        <f t="shared" ref="N161:Q162" si="150">N162</f>
        <v>39982.539940000002</v>
      </c>
      <c r="O161" s="9">
        <f t="shared" si="150"/>
        <v>0</v>
      </c>
      <c r="P161" s="9">
        <f t="shared" si="150"/>
        <v>0</v>
      </c>
      <c r="Q161" s="9">
        <f t="shared" si="150"/>
        <v>0</v>
      </c>
      <c r="R161" s="37">
        <f t="shared" ref="R161:V176" si="151">R162</f>
        <v>19690.55791</v>
      </c>
      <c r="S161" s="42">
        <f t="shared" si="151"/>
        <v>19371.399829999998</v>
      </c>
      <c r="T161" s="37">
        <f t="shared" si="151"/>
        <v>319.15807999999998</v>
      </c>
      <c r="U161" s="9">
        <f t="shared" si="151"/>
        <v>0</v>
      </c>
      <c r="V161" s="42">
        <f t="shared" si="151"/>
        <v>19371.399829999998</v>
      </c>
      <c r="W161" s="9">
        <f>W162</f>
        <v>0</v>
      </c>
      <c r="X161" s="42">
        <f t="shared" ref="X161:AA162" si="152">X162</f>
        <v>19371.399829999998</v>
      </c>
      <c r="Y161" s="9">
        <f t="shared" si="152"/>
        <v>0</v>
      </c>
      <c r="Z161" s="9">
        <f t="shared" si="152"/>
        <v>0</v>
      </c>
      <c r="AA161" s="9">
        <f t="shared" si="152"/>
        <v>0</v>
      </c>
      <c r="AB161" s="40" t="s">
        <v>9</v>
      </c>
    </row>
    <row r="162" spans="1:28" ht="60" x14ac:dyDescent="0.25">
      <c r="A162" s="38"/>
      <c r="B162" s="3"/>
      <c r="C162" s="14"/>
      <c r="D162" s="25"/>
      <c r="E162" s="25"/>
      <c r="F162" s="25"/>
      <c r="G162" s="44"/>
      <c r="H162" s="7" t="s">
        <v>6</v>
      </c>
      <c r="I162" s="37">
        <f t="shared" si="149"/>
        <v>59353.939769999997</v>
      </c>
      <c r="J162" s="9">
        <f t="shared" si="149"/>
        <v>0</v>
      </c>
      <c r="K162" s="9">
        <f t="shared" si="149"/>
        <v>0</v>
      </c>
      <c r="L162" s="9">
        <f t="shared" si="149"/>
        <v>0</v>
      </c>
      <c r="M162" s="37">
        <f t="shared" si="149"/>
        <v>39982.539940000002</v>
      </c>
      <c r="N162" s="37">
        <f t="shared" si="150"/>
        <v>39982.539940000002</v>
      </c>
      <c r="O162" s="9">
        <f t="shared" si="150"/>
        <v>0</v>
      </c>
      <c r="P162" s="9">
        <f t="shared" si="150"/>
        <v>0</v>
      </c>
      <c r="Q162" s="9">
        <f t="shared" si="150"/>
        <v>0</v>
      </c>
      <c r="R162" s="37">
        <f t="shared" si="151"/>
        <v>19690.55791</v>
      </c>
      <c r="S162" s="42">
        <f t="shared" si="151"/>
        <v>19371.399829999998</v>
      </c>
      <c r="T162" s="37">
        <f t="shared" si="151"/>
        <v>319.15807999999998</v>
      </c>
      <c r="U162" s="9">
        <f t="shared" si="151"/>
        <v>0</v>
      </c>
      <c r="V162" s="42">
        <f t="shared" si="151"/>
        <v>19371.399829999998</v>
      </c>
      <c r="W162" s="9">
        <f>W163</f>
        <v>0</v>
      </c>
      <c r="X162" s="42">
        <f t="shared" si="152"/>
        <v>19371.399829999998</v>
      </c>
      <c r="Y162" s="9">
        <f t="shared" si="152"/>
        <v>0</v>
      </c>
      <c r="Z162" s="9">
        <f t="shared" si="152"/>
        <v>0</v>
      </c>
      <c r="AA162" s="9">
        <f t="shared" si="152"/>
        <v>0</v>
      </c>
      <c r="AB162" s="40"/>
    </row>
    <row r="163" spans="1:28" ht="45" x14ac:dyDescent="0.25">
      <c r="A163" s="38"/>
      <c r="B163" s="3"/>
      <c r="C163" s="14"/>
      <c r="D163" s="25"/>
      <c r="E163" s="25"/>
      <c r="F163" s="25"/>
      <c r="G163" s="44"/>
      <c r="H163" s="7" t="s">
        <v>8</v>
      </c>
      <c r="I163" s="37">
        <v>59353.939769999997</v>
      </c>
      <c r="J163" s="9">
        <v>0</v>
      </c>
      <c r="K163" s="9">
        <v>0</v>
      </c>
      <c r="L163" s="9">
        <f>J163-K163</f>
        <v>0</v>
      </c>
      <c r="M163" s="37">
        <f>SUM(N163:Q163)</f>
        <v>39982.539940000002</v>
      </c>
      <c r="N163" s="37">
        <v>39982.539940000002</v>
      </c>
      <c r="O163" s="9">
        <v>0</v>
      </c>
      <c r="P163" s="9">
        <v>0</v>
      </c>
      <c r="Q163" s="9">
        <v>0</v>
      </c>
      <c r="R163" s="37">
        <f>SUM(S163:U163)</f>
        <v>19690.55791</v>
      </c>
      <c r="S163" s="42">
        <f>39982.53995-20611.14012</f>
        <v>19371.399829999998</v>
      </c>
      <c r="T163" s="37">
        <v>319.15807999999998</v>
      </c>
      <c r="U163" s="9">
        <v>0</v>
      </c>
      <c r="V163" s="42">
        <f>SUM(W163:AA163)</f>
        <v>19371.399829999998</v>
      </c>
      <c r="W163" s="9">
        <v>0</v>
      </c>
      <c r="X163" s="42">
        <f>39982.53995-20611.14012</f>
        <v>19371.399829999998</v>
      </c>
      <c r="Y163" s="41">
        <v>0</v>
      </c>
      <c r="Z163" s="41">
        <v>0</v>
      </c>
      <c r="AA163" s="41">
        <v>0</v>
      </c>
      <c r="AB163" s="40"/>
    </row>
    <row r="164" spans="1:28" x14ac:dyDescent="0.25">
      <c r="A164" s="38"/>
      <c r="B164" s="3"/>
      <c r="C164" s="14" t="s">
        <v>96</v>
      </c>
      <c r="D164" s="25" t="s">
        <v>27</v>
      </c>
      <c r="E164" s="25">
        <v>2024</v>
      </c>
      <c r="F164" s="25" t="s">
        <v>146</v>
      </c>
      <c r="G164" s="44">
        <f>I166</f>
        <v>39779.279999999999</v>
      </c>
      <c r="H164" s="7" t="s">
        <v>5</v>
      </c>
      <c r="I164" s="37">
        <f t="shared" ref="I164:M165" si="153">I165</f>
        <v>39779.279999999999</v>
      </c>
      <c r="J164" s="9">
        <f t="shared" si="153"/>
        <v>0</v>
      </c>
      <c r="K164" s="9">
        <f t="shared" si="153"/>
        <v>0</v>
      </c>
      <c r="L164" s="9">
        <f t="shared" si="153"/>
        <v>0</v>
      </c>
      <c r="M164" s="37">
        <f t="shared" si="153"/>
        <v>24889.64</v>
      </c>
      <c r="N164" s="37">
        <f t="shared" ref="N164:Q165" si="154">N165</f>
        <v>24889.64</v>
      </c>
      <c r="O164" s="9">
        <f t="shared" si="154"/>
        <v>0</v>
      </c>
      <c r="P164" s="9">
        <f t="shared" si="154"/>
        <v>0</v>
      </c>
      <c r="Q164" s="9">
        <f t="shared" si="154"/>
        <v>0</v>
      </c>
      <c r="R164" s="37">
        <f t="shared" ref="R164:U165" si="155">R165</f>
        <v>15101.26146</v>
      </c>
      <c r="S164" s="37">
        <f t="shared" si="155"/>
        <v>14889.64</v>
      </c>
      <c r="T164" s="37">
        <f t="shared" si="155"/>
        <v>211.62146000000001</v>
      </c>
      <c r="U164" s="9">
        <f t="shared" si="155"/>
        <v>0</v>
      </c>
      <c r="V164" s="9">
        <f t="shared" si="151"/>
        <v>0</v>
      </c>
      <c r="W164" s="9">
        <f>W165</f>
        <v>0</v>
      </c>
      <c r="X164" s="9">
        <f t="shared" ref="X164:AA165" si="156">X165</f>
        <v>0</v>
      </c>
      <c r="Y164" s="9">
        <f t="shared" si="156"/>
        <v>0</v>
      </c>
      <c r="Z164" s="9">
        <f t="shared" si="156"/>
        <v>0</v>
      </c>
      <c r="AA164" s="9">
        <f t="shared" si="156"/>
        <v>0</v>
      </c>
      <c r="AB164" s="40" t="s">
        <v>9</v>
      </c>
    </row>
    <row r="165" spans="1:28" ht="60" x14ac:dyDescent="0.25">
      <c r="A165" s="38"/>
      <c r="B165" s="3"/>
      <c r="C165" s="14"/>
      <c r="D165" s="25"/>
      <c r="E165" s="25"/>
      <c r="F165" s="25"/>
      <c r="G165" s="44"/>
      <c r="H165" s="7" t="s">
        <v>6</v>
      </c>
      <c r="I165" s="37">
        <f t="shared" si="153"/>
        <v>39779.279999999999</v>
      </c>
      <c r="J165" s="9">
        <f t="shared" si="153"/>
        <v>0</v>
      </c>
      <c r="K165" s="9">
        <f t="shared" si="153"/>
        <v>0</v>
      </c>
      <c r="L165" s="9">
        <f t="shared" si="153"/>
        <v>0</v>
      </c>
      <c r="M165" s="37">
        <f t="shared" si="153"/>
        <v>24889.64</v>
      </c>
      <c r="N165" s="37">
        <f t="shared" si="154"/>
        <v>24889.64</v>
      </c>
      <c r="O165" s="9">
        <f t="shared" si="154"/>
        <v>0</v>
      </c>
      <c r="P165" s="9">
        <f t="shared" si="154"/>
        <v>0</v>
      </c>
      <c r="Q165" s="9">
        <f t="shared" si="154"/>
        <v>0</v>
      </c>
      <c r="R165" s="37">
        <f t="shared" si="155"/>
        <v>15101.26146</v>
      </c>
      <c r="S165" s="37">
        <f t="shared" si="155"/>
        <v>14889.64</v>
      </c>
      <c r="T165" s="37">
        <f t="shared" si="155"/>
        <v>211.62146000000001</v>
      </c>
      <c r="U165" s="9">
        <f t="shared" si="155"/>
        <v>0</v>
      </c>
      <c r="V165" s="9">
        <f t="shared" si="151"/>
        <v>0</v>
      </c>
      <c r="W165" s="9">
        <f>W166</f>
        <v>0</v>
      </c>
      <c r="X165" s="9">
        <f t="shared" si="156"/>
        <v>0</v>
      </c>
      <c r="Y165" s="9">
        <f t="shared" si="156"/>
        <v>0</v>
      </c>
      <c r="Z165" s="9">
        <f t="shared" si="156"/>
        <v>0</v>
      </c>
      <c r="AA165" s="9">
        <f t="shared" si="156"/>
        <v>0</v>
      </c>
      <c r="AB165" s="40"/>
    </row>
    <row r="166" spans="1:28" ht="45" x14ac:dyDescent="0.25">
      <c r="A166" s="33"/>
      <c r="B166" s="4"/>
      <c r="C166" s="14"/>
      <c r="D166" s="25"/>
      <c r="E166" s="25"/>
      <c r="F166" s="25"/>
      <c r="G166" s="44"/>
      <c r="H166" s="7" t="s">
        <v>8</v>
      </c>
      <c r="I166" s="37">
        <v>39779.279999999999</v>
      </c>
      <c r="J166" s="9">
        <v>0</v>
      </c>
      <c r="K166" s="9">
        <v>0</v>
      </c>
      <c r="L166" s="9">
        <f>J166-K166</f>
        <v>0</v>
      </c>
      <c r="M166" s="37">
        <f>SUM(N166:Q166)</f>
        <v>24889.64</v>
      </c>
      <c r="N166" s="37">
        <v>24889.64</v>
      </c>
      <c r="O166" s="9">
        <v>0</v>
      </c>
      <c r="P166" s="9">
        <v>0</v>
      </c>
      <c r="Q166" s="9">
        <v>0</v>
      </c>
      <c r="R166" s="37">
        <f>SUM(S166:U166)</f>
        <v>15101.26146</v>
      </c>
      <c r="S166" s="37">
        <f>24889.64-10000</f>
        <v>14889.64</v>
      </c>
      <c r="T166" s="37">
        <v>211.62146000000001</v>
      </c>
      <c r="U166" s="9">
        <v>0</v>
      </c>
      <c r="V166" s="9">
        <f>SUM(W166:AA166)</f>
        <v>0</v>
      </c>
      <c r="W166" s="9">
        <v>0</v>
      </c>
      <c r="X166" s="41">
        <v>0</v>
      </c>
      <c r="Y166" s="41"/>
      <c r="Z166" s="41">
        <v>0</v>
      </c>
      <c r="AA166" s="41">
        <v>0</v>
      </c>
      <c r="AB166" s="40"/>
    </row>
    <row r="167" spans="1:28" x14ac:dyDescent="0.25">
      <c r="A167" s="38"/>
      <c r="B167" s="2"/>
      <c r="C167" s="14" t="s">
        <v>117</v>
      </c>
      <c r="D167" s="25" t="s">
        <v>24</v>
      </c>
      <c r="E167" s="25">
        <v>2023</v>
      </c>
      <c r="F167" s="25" t="s">
        <v>45</v>
      </c>
      <c r="G167" s="44">
        <f>I169</f>
        <v>142766.78949</v>
      </c>
      <c r="H167" s="7" t="s">
        <v>5</v>
      </c>
      <c r="I167" s="37">
        <f t="shared" ref="I167:Q177" si="157">I168</f>
        <v>142766.78949</v>
      </c>
      <c r="J167" s="37">
        <f t="shared" si="157"/>
        <v>86806.86</v>
      </c>
      <c r="K167" s="37">
        <f t="shared" si="157"/>
        <v>86806.86</v>
      </c>
      <c r="L167" s="9">
        <f t="shared" si="157"/>
        <v>0</v>
      </c>
      <c r="M167" s="37">
        <f t="shared" si="157"/>
        <v>55959.929490000002</v>
      </c>
      <c r="N167" s="37">
        <f t="shared" si="157"/>
        <v>55959.929490000002</v>
      </c>
      <c r="O167" s="9">
        <f t="shared" si="157"/>
        <v>0</v>
      </c>
      <c r="P167" s="9">
        <f t="shared" si="157"/>
        <v>0</v>
      </c>
      <c r="Q167" s="9">
        <f t="shared" si="157"/>
        <v>0</v>
      </c>
      <c r="R167" s="9">
        <f t="shared" ref="R167:V177" si="158">R168</f>
        <v>0</v>
      </c>
      <c r="S167" s="9">
        <f t="shared" si="158"/>
        <v>0</v>
      </c>
      <c r="T167" s="9">
        <f t="shared" si="158"/>
        <v>0</v>
      </c>
      <c r="U167" s="9">
        <f t="shared" si="158"/>
        <v>0</v>
      </c>
      <c r="V167" s="9">
        <f t="shared" si="151"/>
        <v>0</v>
      </c>
      <c r="W167" s="9">
        <f>W168</f>
        <v>0</v>
      </c>
      <c r="X167" s="9">
        <f t="shared" ref="X167:AA168" si="159">X168</f>
        <v>0</v>
      </c>
      <c r="Y167" s="9">
        <f t="shared" si="159"/>
        <v>0</v>
      </c>
      <c r="Z167" s="9">
        <f t="shared" si="159"/>
        <v>0</v>
      </c>
      <c r="AA167" s="9">
        <f t="shared" si="159"/>
        <v>0</v>
      </c>
      <c r="AB167" s="40" t="s">
        <v>9</v>
      </c>
    </row>
    <row r="168" spans="1:28" ht="60" x14ac:dyDescent="0.25">
      <c r="A168" s="38"/>
      <c r="B168" s="3"/>
      <c r="C168" s="14"/>
      <c r="D168" s="25"/>
      <c r="E168" s="25"/>
      <c r="F168" s="25"/>
      <c r="G168" s="44"/>
      <c r="H168" s="7" t="s">
        <v>6</v>
      </c>
      <c r="I168" s="37">
        <f t="shared" si="157"/>
        <v>142766.78949</v>
      </c>
      <c r="J168" s="37">
        <f t="shared" si="157"/>
        <v>86806.86</v>
      </c>
      <c r="K168" s="37">
        <f t="shared" si="157"/>
        <v>86806.86</v>
      </c>
      <c r="L168" s="9">
        <f t="shared" si="157"/>
        <v>0</v>
      </c>
      <c r="M168" s="37">
        <f t="shared" si="157"/>
        <v>55959.929490000002</v>
      </c>
      <c r="N168" s="37">
        <f t="shared" si="157"/>
        <v>55959.929490000002</v>
      </c>
      <c r="O168" s="9">
        <f t="shared" si="157"/>
        <v>0</v>
      </c>
      <c r="P168" s="9">
        <f t="shared" si="157"/>
        <v>0</v>
      </c>
      <c r="Q168" s="9">
        <f t="shared" si="157"/>
        <v>0</v>
      </c>
      <c r="R168" s="9">
        <f t="shared" si="158"/>
        <v>0</v>
      </c>
      <c r="S168" s="9">
        <f t="shared" si="158"/>
        <v>0</v>
      </c>
      <c r="T168" s="9">
        <f t="shared" si="158"/>
        <v>0</v>
      </c>
      <c r="U168" s="9">
        <f t="shared" si="158"/>
        <v>0</v>
      </c>
      <c r="V168" s="9">
        <f t="shared" si="151"/>
        <v>0</v>
      </c>
      <c r="W168" s="9">
        <f>W169</f>
        <v>0</v>
      </c>
      <c r="X168" s="9">
        <f t="shared" si="159"/>
        <v>0</v>
      </c>
      <c r="Y168" s="9">
        <f t="shared" si="159"/>
        <v>0</v>
      </c>
      <c r="Z168" s="9">
        <f t="shared" si="159"/>
        <v>0</v>
      </c>
      <c r="AA168" s="9">
        <f t="shared" si="159"/>
        <v>0</v>
      </c>
      <c r="AB168" s="40"/>
    </row>
    <row r="169" spans="1:28" ht="45" x14ac:dyDescent="0.25">
      <c r="A169" s="33"/>
      <c r="B169" s="3"/>
      <c r="C169" s="14"/>
      <c r="D169" s="25"/>
      <c r="E169" s="25"/>
      <c r="F169" s="25"/>
      <c r="G169" s="44"/>
      <c r="H169" s="7" t="s">
        <v>8</v>
      </c>
      <c r="I169" s="37">
        <v>142766.78949</v>
      </c>
      <c r="J169" s="37">
        <v>86806.86</v>
      </c>
      <c r="K169" s="37">
        <v>86806.86</v>
      </c>
      <c r="L169" s="9">
        <f>J169-K169</f>
        <v>0</v>
      </c>
      <c r="M169" s="37">
        <f>SUM(N169:Q169)</f>
        <v>55959.929490000002</v>
      </c>
      <c r="N169" s="37">
        <v>55959.929490000002</v>
      </c>
      <c r="O169" s="9">
        <v>0</v>
      </c>
      <c r="P169" s="9">
        <v>0</v>
      </c>
      <c r="Q169" s="9">
        <v>0</v>
      </c>
      <c r="R169" s="9">
        <f>SUM(S169:U169)</f>
        <v>0</v>
      </c>
      <c r="S169" s="9">
        <v>0</v>
      </c>
      <c r="T169" s="9">
        <v>0</v>
      </c>
      <c r="U169" s="9">
        <v>0</v>
      </c>
      <c r="V169" s="9">
        <f>SUM(W169:AA169)</f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40"/>
    </row>
    <row r="170" spans="1:28" ht="15" customHeight="1" x14ac:dyDescent="0.25">
      <c r="A170" s="38"/>
      <c r="B170" s="3"/>
      <c r="C170" s="14" t="s">
        <v>119</v>
      </c>
      <c r="D170" s="51" t="s">
        <v>138</v>
      </c>
      <c r="E170" s="25">
        <v>2026</v>
      </c>
      <c r="F170" s="51" t="s">
        <v>139</v>
      </c>
      <c r="G170" s="44">
        <f>I172</f>
        <v>397567.62</v>
      </c>
      <c r="H170" s="7" t="s">
        <v>5</v>
      </c>
      <c r="I170" s="37">
        <f t="shared" si="157"/>
        <v>397567.62</v>
      </c>
      <c r="J170" s="9">
        <f t="shared" si="157"/>
        <v>0</v>
      </c>
      <c r="K170" s="9">
        <f t="shared" si="157"/>
        <v>0</v>
      </c>
      <c r="L170" s="9">
        <f t="shared" si="157"/>
        <v>0</v>
      </c>
      <c r="M170" s="9">
        <f t="shared" si="157"/>
        <v>0</v>
      </c>
      <c r="N170" s="9">
        <f t="shared" si="157"/>
        <v>0</v>
      </c>
      <c r="O170" s="9">
        <f t="shared" si="157"/>
        <v>0</v>
      </c>
      <c r="P170" s="9">
        <f t="shared" si="157"/>
        <v>0</v>
      </c>
      <c r="Q170" s="9">
        <f t="shared" si="157"/>
        <v>0</v>
      </c>
      <c r="R170" s="37">
        <f t="shared" si="158"/>
        <v>41287.780959999989</v>
      </c>
      <c r="S170" s="37">
        <f t="shared" si="158"/>
        <v>41287.780959999989</v>
      </c>
      <c r="T170" s="9">
        <f t="shared" si="158"/>
        <v>0</v>
      </c>
      <c r="U170" s="9">
        <f t="shared" si="158"/>
        <v>0</v>
      </c>
      <c r="V170" s="37">
        <f t="shared" si="151"/>
        <v>397567.62</v>
      </c>
      <c r="W170" s="37">
        <f t="shared" ref="W170:AA171" si="160">W171</f>
        <v>158874.32203000001</v>
      </c>
      <c r="X170" s="9">
        <f t="shared" si="160"/>
        <v>0</v>
      </c>
      <c r="Y170" s="9">
        <f t="shared" si="160"/>
        <v>0</v>
      </c>
      <c r="Z170" s="37">
        <f t="shared" si="160"/>
        <v>41287.780959999989</v>
      </c>
      <c r="AA170" s="37">
        <f t="shared" si="160"/>
        <v>197405.51701000001</v>
      </c>
      <c r="AB170" s="40" t="s">
        <v>9</v>
      </c>
    </row>
    <row r="171" spans="1:28" ht="60" x14ac:dyDescent="0.25">
      <c r="A171" s="38"/>
      <c r="B171" s="3"/>
      <c r="C171" s="14"/>
      <c r="D171" s="52"/>
      <c r="E171" s="25"/>
      <c r="F171" s="52"/>
      <c r="G171" s="44"/>
      <c r="H171" s="7" t="s">
        <v>6</v>
      </c>
      <c r="I171" s="37">
        <f t="shared" si="157"/>
        <v>397567.62</v>
      </c>
      <c r="J171" s="9">
        <f t="shared" si="157"/>
        <v>0</v>
      </c>
      <c r="K171" s="9">
        <f t="shared" si="157"/>
        <v>0</v>
      </c>
      <c r="L171" s="9">
        <f t="shared" si="157"/>
        <v>0</v>
      </c>
      <c r="M171" s="9">
        <f t="shared" si="157"/>
        <v>0</v>
      </c>
      <c r="N171" s="9">
        <f t="shared" si="157"/>
        <v>0</v>
      </c>
      <c r="O171" s="9">
        <f t="shared" si="157"/>
        <v>0</v>
      </c>
      <c r="P171" s="9">
        <f t="shared" si="157"/>
        <v>0</v>
      </c>
      <c r="Q171" s="9">
        <f t="shared" si="157"/>
        <v>0</v>
      </c>
      <c r="R171" s="37">
        <f t="shared" si="158"/>
        <v>41287.780959999989</v>
      </c>
      <c r="S171" s="37">
        <f t="shared" si="158"/>
        <v>41287.780959999989</v>
      </c>
      <c r="T171" s="9">
        <f t="shared" si="158"/>
        <v>0</v>
      </c>
      <c r="U171" s="9">
        <f t="shared" si="158"/>
        <v>0</v>
      </c>
      <c r="V171" s="37">
        <f t="shared" si="151"/>
        <v>397567.62</v>
      </c>
      <c r="W171" s="37">
        <f t="shared" si="160"/>
        <v>158874.32203000001</v>
      </c>
      <c r="X171" s="9">
        <f t="shared" si="160"/>
        <v>0</v>
      </c>
      <c r="Y171" s="9">
        <f t="shared" si="160"/>
        <v>0</v>
      </c>
      <c r="Z171" s="37">
        <f t="shared" si="160"/>
        <v>41287.780959999989</v>
      </c>
      <c r="AA171" s="37">
        <f t="shared" si="160"/>
        <v>197405.51701000001</v>
      </c>
      <c r="AB171" s="40"/>
    </row>
    <row r="172" spans="1:28" ht="45" x14ac:dyDescent="0.25">
      <c r="A172" s="38"/>
      <c r="B172" s="3"/>
      <c r="C172" s="14"/>
      <c r="D172" s="53"/>
      <c r="E172" s="25"/>
      <c r="F172" s="53"/>
      <c r="G172" s="44"/>
      <c r="H172" s="7" t="s">
        <v>8</v>
      </c>
      <c r="I172" s="37">
        <v>397567.62</v>
      </c>
      <c r="J172" s="9">
        <v>0</v>
      </c>
      <c r="K172" s="9">
        <v>0</v>
      </c>
      <c r="L172" s="9">
        <v>0</v>
      </c>
      <c r="M172" s="9">
        <f>SUM(N172:Q172)</f>
        <v>0</v>
      </c>
      <c r="N172" s="9">
        <v>0</v>
      </c>
      <c r="O172" s="9">
        <v>0</v>
      </c>
      <c r="P172" s="9">
        <v>0</v>
      </c>
      <c r="Q172" s="9">
        <v>0</v>
      </c>
      <c r="R172" s="37">
        <f>SUM(S172:U172)</f>
        <v>41287.780959999989</v>
      </c>
      <c r="S172" s="37">
        <f>Z172</f>
        <v>41287.780959999989</v>
      </c>
      <c r="T172" s="9">
        <v>0</v>
      </c>
      <c r="U172" s="9">
        <v>0</v>
      </c>
      <c r="V172" s="37">
        <f>SUM(W172:AA172)</f>
        <v>397567.62</v>
      </c>
      <c r="W172" s="48">
        <v>158874.32203000001</v>
      </c>
      <c r="X172" s="41">
        <v>0</v>
      </c>
      <c r="Y172" s="41">
        <v>0</v>
      </c>
      <c r="Z172" s="48">
        <f>(10676.64084+66218.0112+20611.14012+10000)-66218.0112</f>
        <v>41287.780959999989</v>
      </c>
      <c r="AA172" s="48">
        <v>197405.51701000001</v>
      </c>
      <c r="AB172" s="40"/>
    </row>
    <row r="173" spans="1:28" ht="15" customHeight="1" x14ac:dyDescent="0.25">
      <c r="A173" s="38"/>
      <c r="B173" s="3"/>
      <c r="C173" s="14" t="s">
        <v>120</v>
      </c>
      <c r="D173" s="51" t="s">
        <v>122</v>
      </c>
      <c r="E173" s="25">
        <v>2025</v>
      </c>
      <c r="F173" s="51" t="s">
        <v>140</v>
      </c>
      <c r="G173" s="44">
        <f>I175</f>
        <v>129548.97</v>
      </c>
      <c r="H173" s="7" t="s">
        <v>5</v>
      </c>
      <c r="I173" s="9">
        <f t="shared" si="157"/>
        <v>129548.97</v>
      </c>
      <c r="J173" s="9">
        <f t="shared" si="157"/>
        <v>0</v>
      </c>
      <c r="K173" s="9">
        <f t="shared" si="157"/>
        <v>0</v>
      </c>
      <c r="L173" s="9">
        <f t="shared" si="157"/>
        <v>0</v>
      </c>
      <c r="M173" s="9">
        <f t="shared" si="157"/>
        <v>0</v>
      </c>
      <c r="N173" s="9">
        <f t="shared" si="157"/>
        <v>0</v>
      </c>
      <c r="O173" s="9">
        <f t="shared" si="157"/>
        <v>0</v>
      </c>
      <c r="P173" s="9">
        <f t="shared" si="157"/>
        <v>0</v>
      </c>
      <c r="Q173" s="9">
        <f t="shared" si="157"/>
        <v>0</v>
      </c>
      <c r="R173" s="9">
        <f t="shared" si="158"/>
        <v>0</v>
      </c>
      <c r="S173" s="9">
        <f t="shared" si="158"/>
        <v>0</v>
      </c>
      <c r="T173" s="9">
        <f t="shared" si="158"/>
        <v>0</v>
      </c>
      <c r="U173" s="9">
        <f t="shared" si="158"/>
        <v>0</v>
      </c>
      <c r="V173" s="37">
        <f t="shared" si="151"/>
        <v>129548.97</v>
      </c>
      <c r="W173" s="37">
        <f t="shared" ref="W173:AA174" si="161">W174</f>
        <v>72107.186000000002</v>
      </c>
      <c r="X173" s="9">
        <f t="shared" si="161"/>
        <v>0</v>
      </c>
      <c r="Y173" s="9">
        <f t="shared" si="161"/>
        <v>0</v>
      </c>
      <c r="Z173" s="9">
        <f t="shared" si="161"/>
        <v>0</v>
      </c>
      <c r="AA173" s="37">
        <f t="shared" si="161"/>
        <v>57441.784</v>
      </c>
      <c r="AB173" s="40" t="s">
        <v>9</v>
      </c>
    </row>
    <row r="174" spans="1:28" ht="60" x14ac:dyDescent="0.25">
      <c r="A174" s="38"/>
      <c r="B174" s="3"/>
      <c r="C174" s="14"/>
      <c r="D174" s="52"/>
      <c r="E174" s="25"/>
      <c r="F174" s="52"/>
      <c r="G174" s="44"/>
      <c r="H174" s="7" t="s">
        <v>6</v>
      </c>
      <c r="I174" s="9">
        <f t="shared" si="157"/>
        <v>129548.97</v>
      </c>
      <c r="J174" s="9">
        <f t="shared" si="157"/>
        <v>0</v>
      </c>
      <c r="K174" s="9">
        <f t="shared" si="157"/>
        <v>0</v>
      </c>
      <c r="L174" s="9">
        <f t="shared" si="157"/>
        <v>0</v>
      </c>
      <c r="M174" s="9">
        <f t="shared" si="157"/>
        <v>0</v>
      </c>
      <c r="N174" s="9">
        <f t="shared" si="157"/>
        <v>0</v>
      </c>
      <c r="O174" s="9">
        <f t="shared" si="157"/>
        <v>0</v>
      </c>
      <c r="P174" s="9">
        <f t="shared" si="157"/>
        <v>0</v>
      </c>
      <c r="Q174" s="9">
        <f t="shared" si="157"/>
        <v>0</v>
      </c>
      <c r="R174" s="9">
        <f t="shared" si="158"/>
        <v>0</v>
      </c>
      <c r="S174" s="9">
        <f t="shared" si="158"/>
        <v>0</v>
      </c>
      <c r="T174" s="9">
        <f t="shared" si="158"/>
        <v>0</v>
      </c>
      <c r="U174" s="9">
        <f t="shared" si="158"/>
        <v>0</v>
      </c>
      <c r="V174" s="37">
        <f t="shared" si="151"/>
        <v>129548.97</v>
      </c>
      <c r="W174" s="37">
        <f t="shared" si="161"/>
        <v>72107.186000000002</v>
      </c>
      <c r="X174" s="9">
        <f t="shared" si="161"/>
        <v>0</v>
      </c>
      <c r="Y174" s="9">
        <f t="shared" si="161"/>
        <v>0</v>
      </c>
      <c r="Z174" s="9">
        <f t="shared" si="161"/>
        <v>0</v>
      </c>
      <c r="AA174" s="37">
        <f t="shared" si="161"/>
        <v>57441.784</v>
      </c>
      <c r="AB174" s="40"/>
    </row>
    <row r="175" spans="1:28" ht="45" x14ac:dyDescent="0.25">
      <c r="A175" s="38"/>
      <c r="B175" s="3"/>
      <c r="C175" s="14"/>
      <c r="D175" s="53"/>
      <c r="E175" s="25"/>
      <c r="F175" s="53"/>
      <c r="G175" s="44"/>
      <c r="H175" s="7" t="s">
        <v>8</v>
      </c>
      <c r="I175" s="37">
        <v>129548.97</v>
      </c>
      <c r="J175" s="9">
        <v>0</v>
      </c>
      <c r="K175" s="9">
        <v>0</v>
      </c>
      <c r="L175" s="9">
        <v>0</v>
      </c>
      <c r="M175" s="9">
        <f>SUM(N175:Q175)</f>
        <v>0</v>
      </c>
      <c r="N175" s="9">
        <v>0</v>
      </c>
      <c r="O175" s="9">
        <v>0</v>
      </c>
      <c r="P175" s="9">
        <v>0</v>
      </c>
      <c r="Q175" s="9">
        <v>0</v>
      </c>
      <c r="R175" s="9">
        <f>SUM(S175:U175)</f>
        <v>0</v>
      </c>
      <c r="S175" s="9">
        <v>0</v>
      </c>
      <c r="T175" s="9">
        <v>0</v>
      </c>
      <c r="U175" s="9">
        <v>0</v>
      </c>
      <c r="V175" s="37">
        <f>SUM(W175:AA175)</f>
        <v>129548.97</v>
      </c>
      <c r="W175" s="37">
        <v>72107.186000000002</v>
      </c>
      <c r="X175" s="9">
        <v>0</v>
      </c>
      <c r="Y175" s="9">
        <v>0</v>
      </c>
      <c r="Z175" s="9">
        <v>0</v>
      </c>
      <c r="AA175" s="48">
        <v>57441.784</v>
      </c>
      <c r="AB175" s="40"/>
    </row>
    <row r="176" spans="1:28" ht="15" customHeight="1" x14ac:dyDescent="0.25">
      <c r="A176" s="38"/>
      <c r="B176" s="3"/>
      <c r="C176" s="14" t="s">
        <v>121</v>
      </c>
      <c r="D176" s="51" t="s">
        <v>122</v>
      </c>
      <c r="E176" s="25">
        <v>2025</v>
      </c>
      <c r="F176" s="51" t="s">
        <v>141</v>
      </c>
      <c r="G176" s="44">
        <f>I178</f>
        <v>87466.356830000004</v>
      </c>
      <c r="H176" s="7" t="s">
        <v>5</v>
      </c>
      <c r="I176" s="37">
        <f t="shared" si="157"/>
        <v>87466.356830000004</v>
      </c>
      <c r="J176" s="9">
        <f t="shared" si="157"/>
        <v>0</v>
      </c>
      <c r="K176" s="9">
        <f t="shared" si="157"/>
        <v>0</v>
      </c>
      <c r="L176" s="9">
        <f t="shared" si="157"/>
        <v>0</v>
      </c>
      <c r="M176" s="9">
        <f t="shared" si="157"/>
        <v>0</v>
      </c>
      <c r="N176" s="9">
        <f t="shared" si="157"/>
        <v>0</v>
      </c>
      <c r="O176" s="9">
        <f t="shared" si="157"/>
        <v>0</v>
      </c>
      <c r="P176" s="9">
        <f t="shared" si="157"/>
        <v>0</v>
      </c>
      <c r="Q176" s="9">
        <f t="shared" si="157"/>
        <v>0</v>
      </c>
      <c r="R176" s="9">
        <f t="shared" si="158"/>
        <v>0</v>
      </c>
      <c r="S176" s="9">
        <f t="shared" si="158"/>
        <v>0</v>
      </c>
      <c r="T176" s="9">
        <f t="shared" si="158"/>
        <v>0</v>
      </c>
      <c r="U176" s="9">
        <f t="shared" si="158"/>
        <v>0</v>
      </c>
      <c r="V176" s="37">
        <f t="shared" si="151"/>
        <v>87466.356830000004</v>
      </c>
      <c r="W176" s="42">
        <f t="shared" ref="W176:AA177" si="162">W177</f>
        <v>49017.598830000003</v>
      </c>
      <c r="X176" s="9">
        <f t="shared" si="162"/>
        <v>0</v>
      </c>
      <c r="Y176" s="9">
        <f t="shared" si="162"/>
        <v>0</v>
      </c>
      <c r="Z176" s="9">
        <f t="shared" si="162"/>
        <v>0</v>
      </c>
      <c r="AA176" s="37">
        <f t="shared" si="162"/>
        <v>38448.758000000002</v>
      </c>
      <c r="AB176" s="40" t="s">
        <v>9</v>
      </c>
    </row>
    <row r="177" spans="1:28" ht="60" x14ac:dyDescent="0.25">
      <c r="A177" s="38"/>
      <c r="B177" s="3"/>
      <c r="C177" s="14"/>
      <c r="D177" s="52"/>
      <c r="E177" s="25"/>
      <c r="F177" s="52"/>
      <c r="G177" s="44"/>
      <c r="H177" s="7" t="s">
        <v>6</v>
      </c>
      <c r="I177" s="37">
        <f t="shared" si="157"/>
        <v>87466.356830000004</v>
      </c>
      <c r="J177" s="9">
        <f t="shared" si="157"/>
        <v>0</v>
      </c>
      <c r="K177" s="9">
        <f t="shared" si="157"/>
        <v>0</v>
      </c>
      <c r="L177" s="9">
        <f t="shared" si="157"/>
        <v>0</v>
      </c>
      <c r="M177" s="9">
        <f t="shared" si="157"/>
        <v>0</v>
      </c>
      <c r="N177" s="9">
        <f t="shared" si="157"/>
        <v>0</v>
      </c>
      <c r="O177" s="9">
        <f t="shared" si="157"/>
        <v>0</v>
      </c>
      <c r="P177" s="9">
        <f t="shared" si="157"/>
        <v>0</v>
      </c>
      <c r="Q177" s="9">
        <f t="shared" si="157"/>
        <v>0</v>
      </c>
      <c r="R177" s="9">
        <f t="shared" si="158"/>
        <v>0</v>
      </c>
      <c r="S177" s="9">
        <f t="shared" si="158"/>
        <v>0</v>
      </c>
      <c r="T177" s="9">
        <f t="shared" si="158"/>
        <v>0</v>
      </c>
      <c r="U177" s="9">
        <f t="shared" si="158"/>
        <v>0</v>
      </c>
      <c r="V177" s="37">
        <f t="shared" si="158"/>
        <v>87466.356830000004</v>
      </c>
      <c r="W177" s="42">
        <f t="shared" si="162"/>
        <v>49017.598830000003</v>
      </c>
      <c r="X177" s="9">
        <f t="shared" si="162"/>
        <v>0</v>
      </c>
      <c r="Y177" s="9">
        <f t="shared" si="162"/>
        <v>0</v>
      </c>
      <c r="Z177" s="9">
        <f t="shared" si="162"/>
        <v>0</v>
      </c>
      <c r="AA177" s="37">
        <f t="shared" si="162"/>
        <v>38448.758000000002</v>
      </c>
      <c r="AB177" s="40"/>
    </row>
    <row r="178" spans="1:28" ht="45" x14ac:dyDescent="0.25">
      <c r="A178" s="38"/>
      <c r="B178" s="3"/>
      <c r="C178" s="14"/>
      <c r="D178" s="53"/>
      <c r="E178" s="25"/>
      <c r="F178" s="53"/>
      <c r="G178" s="44"/>
      <c r="H178" s="7" t="s">
        <v>8</v>
      </c>
      <c r="I178" s="37">
        <v>87466.356830000004</v>
      </c>
      <c r="J178" s="9">
        <v>0</v>
      </c>
      <c r="K178" s="9">
        <v>0</v>
      </c>
      <c r="L178" s="9">
        <v>0</v>
      </c>
      <c r="M178" s="9">
        <f>SUM(N178:Q178)</f>
        <v>0</v>
      </c>
      <c r="N178" s="9">
        <v>0</v>
      </c>
      <c r="O178" s="9">
        <v>0</v>
      </c>
      <c r="P178" s="9">
        <v>0</v>
      </c>
      <c r="Q178" s="9">
        <v>0</v>
      </c>
      <c r="R178" s="9">
        <f>SUM(S178:U178)</f>
        <v>0</v>
      </c>
      <c r="S178" s="9">
        <v>0</v>
      </c>
      <c r="T178" s="9">
        <v>0</v>
      </c>
      <c r="U178" s="9">
        <v>0</v>
      </c>
      <c r="V178" s="37">
        <f>SUM(W178:AA178)</f>
        <v>87466.356830000004</v>
      </c>
      <c r="W178" s="42">
        <v>49017.598830000003</v>
      </c>
      <c r="X178" s="9">
        <v>0</v>
      </c>
      <c r="Y178" s="9">
        <v>0</v>
      </c>
      <c r="Z178" s="9">
        <v>0</v>
      </c>
      <c r="AA178" s="48">
        <v>38448.758000000002</v>
      </c>
      <c r="AB178" s="40"/>
    </row>
    <row r="179" spans="1:28" ht="165" x14ac:dyDescent="0.25">
      <c r="A179" s="36" t="s">
        <v>40</v>
      </c>
      <c r="B179" s="2" t="s">
        <v>83</v>
      </c>
      <c r="C179" s="14"/>
      <c r="D179" s="25" t="s">
        <v>4</v>
      </c>
      <c r="E179" s="25" t="s">
        <v>4</v>
      </c>
      <c r="F179" s="25" t="s">
        <v>4</v>
      </c>
      <c r="G179" s="25" t="s">
        <v>4</v>
      </c>
      <c r="H179" s="7" t="s">
        <v>5</v>
      </c>
      <c r="I179" s="37">
        <f t="shared" ref="I179:M180" si="163">I180</f>
        <v>303558.18</v>
      </c>
      <c r="J179" s="9">
        <f t="shared" si="163"/>
        <v>0</v>
      </c>
      <c r="K179" s="9">
        <f t="shared" si="163"/>
        <v>0</v>
      </c>
      <c r="L179" s="9">
        <f t="shared" si="163"/>
        <v>0</v>
      </c>
      <c r="M179" s="9">
        <f t="shared" si="163"/>
        <v>0</v>
      </c>
      <c r="N179" s="9">
        <f t="shared" ref="N179:Q180" si="164">N180</f>
        <v>0</v>
      </c>
      <c r="O179" s="9">
        <f t="shared" si="164"/>
        <v>0</v>
      </c>
      <c r="P179" s="9">
        <f t="shared" si="164"/>
        <v>0</v>
      </c>
      <c r="Q179" s="9">
        <f t="shared" si="164"/>
        <v>0</v>
      </c>
      <c r="R179" s="9">
        <f t="shared" ref="R179:V180" si="165">R180</f>
        <v>70000</v>
      </c>
      <c r="S179" s="9">
        <f t="shared" si="165"/>
        <v>70000</v>
      </c>
      <c r="T179" s="9">
        <f t="shared" si="165"/>
        <v>0</v>
      </c>
      <c r="U179" s="9">
        <f t="shared" si="165"/>
        <v>0</v>
      </c>
      <c r="V179" s="37">
        <f t="shared" si="165"/>
        <v>234052.54089999996</v>
      </c>
      <c r="W179" s="37">
        <f>W180</f>
        <v>221829.51789999998</v>
      </c>
      <c r="X179" s="37">
        <f t="shared" ref="X179:AA180" si="166">X180</f>
        <v>444.36045999999999</v>
      </c>
      <c r="Y179" s="9">
        <f t="shared" si="166"/>
        <v>50.000439999999998</v>
      </c>
      <c r="Z179" s="9">
        <f t="shared" si="166"/>
        <v>0</v>
      </c>
      <c r="AA179" s="37">
        <f t="shared" si="166"/>
        <v>11728.6621</v>
      </c>
      <c r="AB179" s="29" t="s">
        <v>4</v>
      </c>
    </row>
    <row r="180" spans="1:28" ht="60" x14ac:dyDescent="0.25">
      <c r="A180" s="38"/>
      <c r="B180" s="3"/>
      <c r="C180" s="14"/>
      <c r="D180" s="25"/>
      <c r="E180" s="25"/>
      <c r="F180" s="25"/>
      <c r="G180" s="25"/>
      <c r="H180" s="7" t="s">
        <v>6</v>
      </c>
      <c r="I180" s="37">
        <f t="shared" si="163"/>
        <v>303558.18</v>
      </c>
      <c r="J180" s="9">
        <f t="shared" si="163"/>
        <v>0</v>
      </c>
      <c r="K180" s="9">
        <f t="shared" si="163"/>
        <v>0</v>
      </c>
      <c r="L180" s="9">
        <f t="shared" si="163"/>
        <v>0</v>
      </c>
      <c r="M180" s="9">
        <f t="shared" si="163"/>
        <v>0</v>
      </c>
      <c r="N180" s="9">
        <f t="shared" si="164"/>
        <v>0</v>
      </c>
      <c r="O180" s="9">
        <f t="shared" si="164"/>
        <v>0</v>
      </c>
      <c r="P180" s="9">
        <f t="shared" si="164"/>
        <v>0</v>
      </c>
      <c r="Q180" s="9">
        <f t="shared" si="164"/>
        <v>0</v>
      </c>
      <c r="R180" s="9">
        <f t="shared" si="165"/>
        <v>70000</v>
      </c>
      <c r="S180" s="9">
        <f t="shared" si="165"/>
        <v>70000</v>
      </c>
      <c r="T180" s="9">
        <f t="shared" si="165"/>
        <v>0</v>
      </c>
      <c r="U180" s="9">
        <f t="shared" si="165"/>
        <v>0</v>
      </c>
      <c r="V180" s="37">
        <f t="shared" si="165"/>
        <v>234052.54089999996</v>
      </c>
      <c r="W180" s="37">
        <f>W181</f>
        <v>221829.51789999998</v>
      </c>
      <c r="X180" s="37">
        <f t="shared" si="166"/>
        <v>444.36045999999999</v>
      </c>
      <c r="Y180" s="9">
        <f t="shared" si="166"/>
        <v>50.000439999999998</v>
      </c>
      <c r="Z180" s="9">
        <f t="shared" si="166"/>
        <v>0</v>
      </c>
      <c r="AA180" s="37">
        <f t="shared" si="166"/>
        <v>11728.6621</v>
      </c>
      <c r="AB180" s="29"/>
    </row>
    <row r="181" spans="1:28" ht="45" x14ac:dyDescent="0.25">
      <c r="A181" s="38"/>
      <c r="B181" s="3"/>
      <c r="C181" s="14"/>
      <c r="D181" s="25"/>
      <c r="E181" s="25"/>
      <c r="F181" s="25"/>
      <c r="G181" s="25"/>
      <c r="H181" s="7" t="s">
        <v>8</v>
      </c>
      <c r="I181" s="37">
        <f>I184+I187+I190+I193</f>
        <v>303558.18</v>
      </c>
      <c r="J181" s="9">
        <f t="shared" ref="J181:Q181" si="167">J184+J187+J190+J193</f>
        <v>0</v>
      </c>
      <c r="K181" s="9">
        <f t="shared" si="167"/>
        <v>0</v>
      </c>
      <c r="L181" s="9">
        <f t="shared" si="167"/>
        <v>0</v>
      </c>
      <c r="M181" s="9">
        <f>SUM(N181:Q181)</f>
        <v>0</v>
      </c>
      <c r="N181" s="9">
        <f t="shared" si="167"/>
        <v>0</v>
      </c>
      <c r="O181" s="9">
        <f t="shared" si="167"/>
        <v>0</v>
      </c>
      <c r="P181" s="9">
        <f t="shared" si="167"/>
        <v>0</v>
      </c>
      <c r="Q181" s="9">
        <f t="shared" si="167"/>
        <v>0</v>
      </c>
      <c r="R181" s="9">
        <f>SUM(S181:U181)</f>
        <v>70000</v>
      </c>
      <c r="S181" s="9">
        <f>S184+S187+S190+S193</f>
        <v>70000</v>
      </c>
      <c r="T181" s="9">
        <f t="shared" ref="T181:W181" si="168">T184+T187+T190+T193</f>
        <v>0</v>
      </c>
      <c r="U181" s="9">
        <f t="shared" si="168"/>
        <v>0</v>
      </c>
      <c r="V181" s="37">
        <f>SUM(W181:AA181)</f>
        <v>234052.54089999996</v>
      </c>
      <c r="W181" s="37">
        <f t="shared" si="168"/>
        <v>221829.51789999998</v>
      </c>
      <c r="X181" s="37">
        <f t="shared" ref="X181:AA181" si="169">X184+X187+X190+X193</f>
        <v>444.36045999999999</v>
      </c>
      <c r="Y181" s="9">
        <f t="shared" si="169"/>
        <v>50.000439999999998</v>
      </c>
      <c r="Z181" s="9">
        <f t="shared" si="169"/>
        <v>0</v>
      </c>
      <c r="AA181" s="37">
        <f t="shared" si="169"/>
        <v>11728.6621</v>
      </c>
      <c r="AB181" s="29"/>
    </row>
    <row r="182" spans="1:28" x14ac:dyDescent="0.25">
      <c r="A182" s="59"/>
      <c r="B182" s="3"/>
      <c r="C182" s="60" t="s">
        <v>46</v>
      </c>
      <c r="D182" s="25" t="s">
        <v>17</v>
      </c>
      <c r="E182" s="25">
        <v>2025</v>
      </c>
      <c r="F182" s="25" t="s">
        <v>142</v>
      </c>
      <c r="G182" s="39">
        <f>I184</f>
        <v>140000</v>
      </c>
      <c r="H182" s="7" t="s">
        <v>5</v>
      </c>
      <c r="I182" s="9">
        <f t="shared" ref="I182:M192" si="170">I183</f>
        <v>140000</v>
      </c>
      <c r="J182" s="9">
        <f t="shared" si="170"/>
        <v>0</v>
      </c>
      <c r="K182" s="9">
        <f t="shared" si="170"/>
        <v>0</v>
      </c>
      <c r="L182" s="9">
        <f t="shared" si="170"/>
        <v>0</v>
      </c>
      <c r="M182" s="9">
        <f t="shared" si="170"/>
        <v>0</v>
      </c>
      <c r="N182" s="9">
        <f t="shared" ref="N182:Q192" si="171">N183</f>
        <v>0</v>
      </c>
      <c r="O182" s="9">
        <f t="shared" si="171"/>
        <v>0</v>
      </c>
      <c r="P182" s="9">
        <f t="shared" si="171"/>
        <v>0</v>
      </c>
      <c r="Q182" s="9">
        <f t="shared" si="171"/>
        <v>0</v>
      </c>
      <c r="R182" s="9">
        <f t="shared" ref="R182:V192" si="172">R183</f>
        <v>70000</v>
      </c>
      <c r="S182" s="9">
        <f t="shared" si="172"/>
        <v>70000</v>
      </c>
      <c r="T182" s="9">
        <f t="shared" si="172"/>
        <v>0</v>
      </c>
      <c r="U182" s="9">
        <f t="shared" si="172"/>
        <v>0</v>
      </c>
      <c r="V182" s="37">
        <f t="shared" si="172"/>
        <v>70494.3609</v>
      </c>
      <c r="W182" s="9">
        <f>W183</f>
        <v>70000</v>
      </c>
      <c r="X182" s="37">
        <f t="shared" ref="X182:AA183" si="173">X183</f>
        <v>444.36045999999999</v>
      </c>
      <c r="Y182" s="9">
        <f t="shared" si="173"/>
        <v>50.000439999999998</v>
      </c>
      <c r="Z182" s="9">
        <f t="shared" si="173"/>
        <v>0</v>
      </c>
      <c r="AA182" s="9">
        <f t="shared" si="173"/>
        <v>0</v>
      </c>
      <c r="AB182" s="40" t="s">
        <v>7</v>
      </c>
    </row>
    <row r="183" spans="1:28" ht="60" x14ac:dyDescent="0.25">
      <c r="A183" s="59"/>
      <c r="B183" s="3"/>
      <c r="C183" s="60"/>
      <c r="D183" s="25"/>
      <c r="E183" s="25"/>
      <c r="F183" s="25"/>
      <c r="G183" s="39"/>
      <c r="H183" s="7" t="s">
        <v>6</v>
      </c>
      <c r="I183" s="9">
        <f t="shared" si="170"/>
        <v>140000</v>
      </c>
      <c r="J183" s="9">
        <f t="shared" si="170"/>
        <v>0</v>
      </c>
      <c r="K183" s="9">
        <f t="shared" si="170"/>
        <v>0</v>
      </c>
      <c r="L183" s="9">
        <f t="shared" si="170"/>
        <v>0</v>
      </c>
      <c r="M183" s="9">
        <f t="shared" si="170"/>
        <v>0</v>
      </c>
      <c r="N183" s="9">
        <f t="shared" si="171"/>
        <v>0</v>
      </c>
      <c r="O183" s="9">
        <f t="shared" si="171"/>
        <v>0</v>
      </c>
      <c r="P183" s="9">
        <f t="shared" si="171"/>
        <v>0</v>
      </c>
      <c r="Q183" s="9">
        <f t="shared" si="171"/>
        <v>0</v>
      </c>
      <c r="R183" s="9">
        <f t="shared" si="172"/>
        <v>70000</v>
      </c>
      <c r="S183" s="9">
        <f t="shared" si="172"/>
        <v>70000</v>
      </c>
      <c r="T183" s="9">
        <f t="shared" si="172"/>
        <v>0</v>
      </c>
      <c r="U183" s="9">
        <f t="shared" si="172"/>
        <v>0</v>
      </c>
      <c r="V183" s="37">
        <f t="shared" si="172"/>
        <v>70494.3609</v>
      </c>
      <c r="W183" s="9">
        <f>W184</f>
        <v>70000</v>
      </c>
      <c r="X183" s="37">
        <f t="shared" si="173"/>
        <v>444.36045999999999</v>
      </c>
      <c r="Y183" s="9">
        <f t="shared" si="173"/>
        <v>50.000439999999998</v>
      </c>
      <c r="Z183" s="9">
        <f t="shared" si="173"/>
        <v>0</v>
      </c>
      <c r="AA183" s="9">
        <f t="shared" si="173"/>
        <v>0</v>
      </c>
      <c r="AB183" s="40"/>
    </row>
    <row r="184" spans="1:28" ht="45" x14ac:dyDescent="0.25">
      <c r="A184" s="38"/>
      <c r="B184" s="6"/>
      <c r="C184" s="60"/>
      <c r="D184" s="25"/>
      <c r="E184" s="25"/>
      <c r="F184" s="25"/>
      <c r="G184" s="39"/>
      <c r="H184" s="7" t="s">
        <v>8</v>
      </c>
      <c r="I184" s="9">
        <v>140000</v>
      </c>
      <c r="J184" s="9">
        <v>0</v>
      </c>
      <c r="K184" s="9">
        <v>0</v>
      </c>
      <c r="L184" s="9">
        <f>J184-K184</f>
        <v>0</v>
      </c>
      <c r="M184" s="9">
        <f>SUM(N184:Q184)</f>
        <v>0</v>
      </c>
      <c r="N184" s="9">
        <v>0</v>
      </c>
      <c r="O184" s="9">
        <v>0</v>
      </c>
      <c r="P184" s="9">
        <v>0</v>
      </c>
      <c r="Q184" s="9">
        <v>0</v>
      </c>
      <c r="R184" s="9">
        <f>SUM(S184:U184)</f>
        <v>70000</v>
      </c>
      <c r="S184" s="9">
        <v>70000</v>
      </c>
      <c r="T184" s="9">
        <v>0</v>
      </c>
      <c r="U184" s="9">
        <v>0</v>
      </c>
      <c r="V184" s="37">
        <f>SUM(W184:AA184)</f>
        <v>70494.3609</v>
      </c>
      <c r="W184" s="9">
        <v>70000</v>
      </c>
      <c r="X184" s="37">
        <f>444.36046</f>
        <v>444.36045999999999</v>
      </c>
      <c r="Y184" s="9">
        <v>50.000439999999998</v>
      </c>
      <c r="Z184" s="41">
        <v>0</v>
      </c>
      <c r="AA184" s="41">
        <v>0</v>
      </c>
      <c r="AB184" s="40"/>
    </row>
    <row r="185" spans="1:28" x14ac:dyDescent="0.25">
      <c r="A185" s="38"/>
      <c r="B185" s="6"/>
      <c r="C185" s="60" t="s">
        <v>123</v>
      </c>
      <c r="D185" s="25" t="s">
        <v>17</v>
      </c>
      <c r="E185" s="25">
        <v>2025</v>
      </c>
      <c r="F185" s="25" t="s">
        <v>36</v>
      </c>
      <c r="G185" s="44">
        <f>I187</f>
        <v>46101.119999999995</v>
      </c>
      <c r="H185" s="7" t="s">
        <v>5</v>
      </c>
      <c r="I185" s="37">
        <f t="shared" si="170"/>
        <v>46101.119999999995</v>
      </c>
      <c r="J185" s="9">
        <f t="shared" si="170"/>
        <v>0</v>
      </c>
      <c r="K185" s="9">
        <f t="shared" si="170"/>
        <v>0</v>
      </c>
      <c r="L185" s="9">
        <f t="shared" si="170"/>
        <v>0</v>
      </c>
      <c r="M185" s="9">
        <f t="shared" si="170"/>
        <v>0</v>
      </c>
      <c r="N185" s="9">
        <f t="shared" si="171"/>
        <v>0</v>
      </c>
      <c r="O185" s="9">
        <f t="shared" si="171"/>
        <v>0</v>
      </c>
      <c r="P185" s="9">
        <f t="shared" si="171"/>
        <v>0</v>
      </c>
      <c r="Q185" s="9">
        <f t="shared" si="171"/>
        <v>0</v>
      </c>
      <c r="R185" s="9">
        <f t="shared" si="172"/>
        <v>0</v>
      </c>
      <c r="S185" s="9">
        <f t="shared" si="172"/>
        <v>0</v>
      </c>
      <c r="T185" s="9">
        <f t="shared" si="172"/>
        <v>0</v>
      </c>
      <c r="U185" s="9">
        <f t="shared" si="172"/>
        <v>0</v>
      </c>
      <c r="V185" s="37">
        <f t="shared" ref="V185:AA186" si="174">V186</f>
        <v>46101.119999999995</v>
      </c>
      <c r="W185" s="37">
        <f t="shared" si="174"/>
        <v>46101.119999999995</v>
      </c>
      <c r="X185" s="9">
        <f t="shared" si="174"/>
        <v>0</v>
      </c>
      <c r="Y185" s="9">
        <f t="shared" si="174"/>
        <v>0</v>
      </c>
      <c r="Z185" s="9">
        <f t="shared" si="174"/>
        <v>0</v>
      </c>
      <c r="AA185" s="9">
        <f t="shared" si="174"/>
        <v>0</v>
      </c>
      <c r="AB185" s="40" t="s">
        <v>7</v>
      </c>
    </row>
    <row r="186" spans="1:28" ht="60" x14ac:dyDescent="0.25">
      <c r="A186" s="38"/>
      <c r="B186" s="6"/>
      <c r="C186" s="60"/>
      <c r="D186" s="25"/>
      <c r="E186" s="25"/>
      <c r="F186" s="25"/>
      <c r="G186" s="44"/>
      <c r="H186" s="7" t="s">
        <v>6</v>
      </c>
      <c r="I186" s="37">
        <f t="shared" si="170"/>
        <v>46101.119999999995</v>
      </c>
      <c r="J186" s="9">
        <f t="shared" si="170"/>
        <v>0</v>
      </c>
      <c r="K186" s="9">
        <f t="shared" si="170"/>
        <v>0</v>
      </c>
      <c r="L186" s="9">
        <f t="shared" si="170"/>
        <v>0</v>
      </c>
      <c r="M186" s="9">
        <f t="shared" si="170"/>
        <v>0</v>
      </c>
      <c r="N186" s="9">
        <f t="shared" si="171"/>
        <v>0</v>
      </c>
      <c r="O186" s="9">
        <f t="shared" si="171"/>
        <v>0</v>
      </c>
      <c r="P186" s="9">
        <f t="shared" si="171"/>
        <v>0</v>
      </c>
      <c r="Q186" s="9">
        <f t="shared" si="171"/>
        <v>0</v>
      </c>
      <c r="R186" s="9">
        <f t="shared" si="172"/>
        <v>0</v>
      </c>
      <c r="S186" s="9">
        <f t="shared" si="172"/>
        <v>0</v>
      </c>
      <c r="T186" s="9">
        <f t="shared" si="172"/>
        <v>0</v>
      </c>
      <c r="U186" s="9">
        <f t="shared" si="172"/>
        <v>0</v>
      </c>
      <c r="V186" s="37">
        <f t="shared" si="174"/>
        <v>46101.119999999995</v>
      </c>
      <c r="W186" s="37">
        <f t="shared" si="174"/>
        <v>46101.119999999995</v>
      </c>
      <c r="X186" s="9">
        <f t="shared" si="174"/>
        <v>0</v>
      </c>
      <c r="Y186" s="9">
        <f t="shared" si="174"/>
        <v>0</v>
      </c>
      <c r="Z186" s="9">
        <f t="shared" si="174"/>
        <v>0</v>
      </c>
      <c r="AA186" s="9">
        <f t="shared" si="174"/>
        <v>0</v>
      </c>
      <c r="AB186" s="40"/>
    </row>
    <row r="187" spans="1:28" ht="45" x14ac:dyDescent="0.25">
      <c r="A187" s="38"/>
      <c r="B187" s="6"/>
      <c r="C187" s="60"/>
      <c r="D187" s="25"/>
      <c r="E187" s="25"/>
      <c r="F187" s="25"/>
      <c r="G187" s="44"/>
      <c r="H187" s="7" t="s">
        <v>8</v>
      </c>
      <c r="I187" s="37">
        <v>46101.119999999995</v>
      </c>
      <c r="J187" s="9">
        <v>0</v>
      </c>
      <c r="K187" s="9">
        <v>0</v>
      </c>
      <c r="L187" s="9">
        <f>J187-K187</f>
        <v>0</v>
      </c>
      <c r="M187" s="9">
        <f>SUM(N187:Q187)</f>
        <v>0</v>
      </c>
      <c r="N187" s="9">
        <v>0</v>
      </c>
      <c r="O187" s="9">
        <v>0</v>
      </c>
      <c r="P187" s="9">
        <v>0</v>
      </c>
      <c r="Q187" s="9">
        <v>0</v>
      </c>
      <c r="R187" s="9">
        <f>SUM(S187:U187)</f>
        <v>0</v>
      </c>
      <c r="S187" s="9">
        <v>0</v>
      </c>
      <c r="T187" s="9">
        <v>0</v>
      </c>
      <c r="U187" s="9">
        <v>0</v>
      </c>
      <c r="V187" s="37">
        <f>SUM(W187:AA187)</f>
        <v>46101.119999999995</v>
      </c>
      <c r="W187" s="48">
        <v>46101.119999999995</v>
      </c>
      <c r="X187" s="41">
        <v>0</v>
      </c>
      <c r="Y187" s="41">
        <v>0</v>
      </c>
      <c r="Z187" s="41">
        <v>0</v>
      </c>
      <c r="AA187" s="41">
        <v>0</v>
      </c>
      <c r="AB187" s="40"/>
    </row>
    <row r="188" spans="1:28" x14ac:dyDescent="0.25">
      <c r="A188" s="38"/>
      <c r="B188" s="6"/>
      <c r="C188" s="60" t="s">
        <v>124</v>
      </c>
      <c r="D188" s="25" t="s">
        <v>17</v>
      </c>
      <c r="E188" s="25">
        <v>2025</v>
      </c>
      <c r="F188" s="25" t="s">
        <v>136</v>
      </c>
      <c r="G188" s="44">
        <f>I190</f>
        <v>60018.94</v>
      </c>
      <c r="H188" s="7" t="s">
        <v>5</v>
      </c>
      <c r="I188" s="37">
        <f t="shared" si="170"/>
        <v>60018.94</v>
      </c>
      <c r="J188" s="9">
        <f t="shared" si="170"/>
        <v>0</v>
      </c>
      <c r="K188" s="9">
        <f t="shared" si="170"/>
        <v>0</v>
      </c>
      <c r="L188" s="9">
        <f t="shared" si="170"/>
        <v>0</v>
      </c>
      <c r="M188" s="9">
        <f t="shared" si="170"/>
        <v>0</v>
      </c>
      <c r="N188" s="9">
        <f t="shared" si="171"/>
        <v>0</v>
      </c>
      <c r="O188" s="9">
        <f t="shared" si="171"/>
        <v>0</v>
      </c>
      <c r="P188" s="9">
        <f t="shared" si="171"/>
        <v>0</v>
      </c>
      <c r="Q188" s="9">
        <f t="shared" si="171"/>
        <v>0</v>
      </c>
      <c r="R188" s="9">
        <f t="shared" si="172"/>
        <v>0</v>
      </c>
      <c r="S188" s="9">
        <f t="shared" si="172"/>
        <v>0</v>
      </c>
      <c r="T188" s="9">
        <f t="shared" si="172"/>
        <v>0</v>
      </c>
      <c r="U188" s="9">
        <f t="shared" si="172"/>
        <v>0</v>
      </c>
      <c r="V188" s="37">
        <f t="shared" ref="V188:AA189" si="175">V189</f>
        <v>60018.94</v>
      </c>
      <c r="W188" s="37">
        <f t="shared" si="175"/>
        <v>48290.277900000001</v>
      </c>
      <c r="X188" s="9">
        <f t="shared" si="175"/>
        <v>0</v>
      </c>
      <c r="Y188" s="9">
        <f t="shared" si="175"/>
        <v>0</v>
      </c>
      <c r="Z188" s="9">
        <f t="shared" si="175"/>
        <v>0</v>
      </c>
      <c r="AA188" s="37">
        <f t="shared" si="175"/>
        <v>11728.6621</v>
      </c>
      <c r="AB188" s="40" t="s">
        <v>7</v>
      </c>
    </row>
    <row r="189" spans="1:28" ht="60" x14ac:dyDescent="0.25">
      <c r="A189" s="38"/>
      <c r="B189" s="6"/>
      <c r="C189" s="60"/>
      <c r="D189" s="25"/>
      <c r="E189" s="25"/>
      <c r="F189" s="25"/>
      <c r="G189" s="44"/>
      <c r="H189" s="7" t="s">
        <v>6</v>
      </c>
      <c r="I189" s="37">
        <f t="shared" si="170"/>
        <v>60018.94</v>
      </c>
      <c r="J189" s="9">
        <f t="shared" si="170"/>
        <v>0</v>
      </c>
      <c r="K189" s="9">
        <f t="shared" si="170"/>
        <v>0</v>
      </c>
      <c r="L189" s="9">
        <f t="shared" si="170"/>
        <v>0</v>
      </c>
      <c r="M189" s="9">
        <f t="shared" si="170"/>
        <v>0</v>
      </c>
      <c r="N189" s="9">
        <f t="shared" si="171"/>
        <v>0</v>
      </c>
      <c r="O189" s="9">
        <f t="shared" si="171"/>
        <v>0</v>
      </c>
      <c r="P189" s="9">
        <f t="shared" si="171"/>
        <v>0</v>
      </c>
      <c r="Q189" s="9">
        <f t="shared" si="171"/>
        <v>0</v>
      </c>
      <c r="R189" s="9">
        <f t="shared" si="172"/>
        <v>0</v>
      </c>
      <c r="S189" s="9">
        <f t="shared" si="172"/>
        <v>0</v>
      </c>
      <c r="T189" s="9">
        <f t="shared" si="172"/>
        <v>0</v>
      </c>
      <c r="U189" s="9">
        <f t="shared" si="172"/>
        <v>0</v>
      </c>
      <c r="V189" s="37">
        <f t="shared" si="175"/>
        <v>60018.94</v>
      </c>
      <c r="W189" s="37">
        <f t="shared" si="175"/>
        <v>48290.277900000001</v>
      </c>
      <c r="X189" s="9">
        <f t="shared" si="175"/>
        <v>0</v>
      </c>
      <c r="Y189" s="9">
        <f t="shared" si="175"/>
        <v>0</v>
      </c>
      <c r="Z189" s="9">
        <f t="shared" si="175"/>
        <v>0</v>
      </c>
      <c r="AA189" s="37">
        <f t="shared" si="175"/>
        <v>11728.6621</v>
      </c>
      <c r="AB189" s="40"/>
    </row>
    <row r="190" spans="1:28" ht="45" x14ac:dyDescent="0.25">
      <c r="A190" s="38"/>
      <c r="B190" s="6"/>
      <c r="C190" s="60"/>
      <c r="D190" s="25"/>
      <c r="E190" s="25"/>
      <c r="F190" s="25"/>
      <c r="G190" s="44"/>
      <c r="H190" s="7" t="s">
        <v>8</v>
      </c>
      <c r="I190" s="37">
        <v>60018.94</v>
      </c>
      <c r="J190" s="9">
        <v>0</v>
      </c>
      <c r="K190" s="9">
        <v>0</v>
      </c>
      <c r="L190" s="9">
        <f>J190-K190</f>
        <v>0</v>
      </c>
      <c r="M190" s="9">
        <f>SUM(N190:Q190)</f>
        <v>0</v>
      </c>
      <c r="N190" s="9">
        <v>0</v>
      </c>
      <c r="O190" s="9">
        <v>0</v>
      </c>
      <c r="P190" s="9">
        <v>0</v>
      </c>
      <c r="Q190" s="9">
        <v>0</v>
      </c>
      <c r="R190" s="9">
        <f>SUM(S190:U190)</f>
        <v>0</v>
      </c>
      <c r="S190" s="9">
        <v>0</v>
      </c>
      <c r="T190" s="9">
        <v>0</v>
      </c>
      <c r="U190" s="9">
        <v>0</v>
      </c>
      <c r="V190" s="37">
        <f>SUM(W190:AA190)</f>
        <v>60018.94</v>
      </c>
      <c r="W190" s="48">
        <v>48290.277900000001</v>
      </c>
      <c r="X190" s="41">
        <v>0</v>
      </c>
      <c r="Y190" s="41">
        <v>0</v>
      </c>
      <c r="Z190" s="41">
        <v>0</v>
      </c>
      <c r="AA190" s="48">
        <v>11728.6621</v>
      </c>
      <c r="AB190" s="40"/>
    </row>
    <row r="191" spans="1:28" x14ac:dyDescent="0.25">
      <c r="A191" s="38"/>
      <c r="B191" s="6"/>
      <c r="C191" s="60" t="s">
        <v>125</v>
      </c>
      <c r="D191" s="25" t="s">
        <v>17</v>
      </c>
      <c r="E191" s="25">
        <v>2025</v>
      </c>
      <c r="F191" s="61" t="s">
        <v>135</v>
      </c>
      <c r="G191" s="44">
        <f>I193</f>
        <v>57438.12</v>
      </c>
      <c r="H191" s="7" t="s">
        <v>5</v>
      </c>
      <c r="I191" s="37">
        <f t="shared" si="170"/>
        <v>57438.12</v>
      </c>
      <c r="J191" s="9">
        <f t="shared" si="170"/>
        <v>0</v>
      </c>
      <c r="K191" s="9">
        <f t="shared" si="170"/>
        <v>0</v>
      </c>
      <c r="L191" s="9">
        <f t="shared" si="170"/>
        <v>0</v>
      </c>
      <c r="M191" s="9">
        <f t="shared" si="170"/>
        <v>0</v>
      </c>
      <c r="N191" s="9">
        <f t="shared" si="171"/>
        <v>0</v>
      </c>
      <c r="O191" s="9">
        <f t="shared" si="171"/>
        <v>0</v>
      </c>
      <c r="P191" s="9">
        <f t="shared" si="171"/>
        <v>0</v>
      </c>
      <c r="Q191" s="9">
        <f t="shared" si="171"/>
        <v>0</v>
      </c>
      <c r="R191" s="9">
        <f t="shared" si="172"/>
        <v>0</v>
      </c>
      <c r="S191" s="9">
        <f t="shared" si="172"/>
        <v>0</v>
      </c>
      <c r="T191" s="9">
        <f t="shared" si="172"/>
        <v>0</v>
      </c>
      <c r="U191" s="9">
        <f t="shared" si="172"/>
        <v>0</v>
      </c>
      <c r="V191" s="37">
        <f t="shared" ref="V191:AA192" si="176">V192</f>
        <v>57438.12</v>
      </c>
      <c r="W191" s="37">
        <f t="shared" si="176"/>
        <v>57438.12</v>
      </c>
      <c r="X191" s="9">
        <f t="shared" si="176"/>
        <v>0</v>
      </c>
      <c r="Y191" s="9">
        <f t="shared" si="176"/>
        <v>0</v>
      </c>
      <c r="Z191" s="9">
        <f t="shared" si="176"/>
        <v>0</v>
      </c>
      <c r="AA191" s="9">
        <f t="shared" si="176"/>
        <v>0</v>
      </c>
      <c r="AB191" s="40" t="s">
        <v>7</v>
      </c>
    </row>
    <row r="192" spans="1:28" ht="60" x14ac:dyDescent="0.25">
      <c r="A192" s="38"/>
      <c r="B192" s="6"/>
      <c r="C192" s="60"/>
      <c r="D192" s="25"/>
      <c r="E192" s="25"/>
      <c r="F192" s="61"/>
      <c r="G192" s="44"/>
      <c r="H192" s="7" t="s">
        <v>6</v>
      </c>
      <c r="I192" s="37">
        <f t="shared" si="170"/>
        <v>57438.12</v>
      </c>
      <c r="J192" s="9">
        <f t="shared" si="170"/>
        <v>0</v>
      </c>
      <c r="K192" s="9">
        <f t="shared" si="170"/>
        <v>0</v>
      </c>
      <c r="L192" s="9">
        <f t="shared" si="170"/>
        <v>0</v>
      </c>
      <c r="M192" s="9">
        <f t="shared" si="170"/>
        <v>0</v>
      </c>
      <c r="N192" s="9">
        <f t="shared" si="171"/>
        <v>0</v>
      </c>
      <c r="O192" s="9">
        <f t="shared" si="171"/>
        <v>0</v>
      </c>
      <c r="P192" s="9">
        <f t="shared" si="171"/>
        <v>0</v>
      </c>
      <c r="Q192" s="9">
        <f t="shared" si="171"/>
        <v>0</v>
      </c>
      <c r="R192" s="9">
        <f t="shared" si="172"/>
        <v>0</v>
      </c>
      <c r="S192" s="9">
        <f t="shared" si="172"/>
        <v>0</v>
      </c>
      <c r="T192" s="9">
        <f t="shared" si="172"/>
        <v>0</v>
      </c>
      <c r="U192" s="9">
        <f t="shared" si="172"/>
        <v>0</v>
      </c>
      <c r="V192" s="37">
        <f t="shared" si="176"/>
        <v>57438.12</v>
      </c>
      <c r="W192" s="37">
        <f t="shared" si="176"/>
        <v>57438.12</v>
      </c>
      <c r="X192" s="9">
        <f t="shared" si="176"/>
        <v>0</v>
      </c>
      <c r="Y192" s="9">
        <f t="shared" si="176"/>
        <v>0</v>
      </c>
      <c r="Z192" s="9">
        <f t="shared" si="176"/>
        <v>0</v>
      </c>
      <c r="AA192" s="9">
        <f t="shared" si="176"/>
        <v>0</v>
      </c>
      <c r="AB192" s="40"/>
    </row>
    <row r="193" spans="1:29" ht="45" x14ac:dyDescent="0.25">
      <c r="A193" s="33"/>
      <c r="B193" s="62"/>
      <c r="C193" s="60"/>
      <c r="D193" s="25"/>
      <c r="E193" s="25"/>
      <c r="F193" s="61"/>
      <c r="G193" s="44"/>
      <c r="H193" s="7" t="s">
        <v>8</v>
      </c>
      <c r="I193" s="37">
        <v>57438.12</v>
      </c>
      <c r="J193" s="9">
        <v>0</v>
      </c>
      <c r="K193" s="9">
        <v>0</v>
      </c>
      <c r="L193" s="9">
        <f>J193-K193</f>
        <v>0</v>
      </c>
      <c r="M193" s="9">
        <f>SUM(N193:Q193)</f>
        <v>0</v>
      </c>
      <c r="N193" s="9">
        <v>0</v>
      </c>
      <c r="O193" s="9">
        <v>0</v>
      </c>
      <c r="P193" s="9">
        <v>0</v>
      </c>
      <c r="Q193" s="9">
        <v>0</v>
      </c>
      <c r="R193" s="9">
        <f>SUM(S193:U193)</f>
        <v>0</v>
      </c>
      <c r="S193" s="9">
        <v>0</v>
      </c>
      <c r="T193" s="9">
        <v>0</v>
      </c>
      <c r="U193" s="9">
        <v>0</v>
      </c>
      <c r="V193" s="37">
        <f>SUM(W193:AA193)</f>
        <v>57438.12</v>
      </c>
      <c r="W193" s="48">
        <v>57438.12</v>
      </c>
      <c r="X193" s="41">
        <v>0</v>
      </c>
      <c r="Y193" s="41">
        <v>0</v>
      </c>
      <c r="Z193" s="41">
        <v>0</v>
      </c>
      <c r="AA193" s="41">
        <v>0</v>
      </c>
      <c r="AB193" s="40"/>
    </row>
    <row r="194" spans="1:29" x14ac:dyDescent="0.25">
      <c r="A194" s="63" t="s">
        <v>145</v>
      </c>
      <c r="B194" s="54" t="s">
        <v>175</v>
      </c>
      <c r="C194" s="63"/>
      <c r="D194" s="25" t="s">
        <v>4</v>
      </c>
      <c r="E194" s="25" t="s">
        <v>4</v>
      </c>
      <c r="F194" s="25" t="s">
        <v>4</v>
      </c>
      <c r="G194" s="25" t="s">
        <v>4</v>
      </c>
      <c r="H194" s="7" t="s">
        <v>5</v>
      </c>
      <c r="I194" s="37">
        <v>0</v>
      </c>
      <c r="J194" s="37">
        <f>J195</f>
        <v>298441.48193999985</v>
      </c>
      <c r="K194" s="37">
        <f t="shared" ref="K194:L195" si="177">K195</f>
        <v>0</v>
      </c>
      <c r="L194" s="37">
        <f t="shared" si="177"/>
        <v>298441.48193999985</v>
      </c>
      <c r="M194" s="9">
        <f>SUM(N194:Q194)</f>
        <v>0</v>
      </c>
      <c r="N194" s="9">
        <v>0</v>
      </c>
      <c r="O194" s="9">
        <v>0</v>
      </c>
      <c r="P194" s="9">
        <v>0</v>
      </c>
      <c r="Q194" s="9">
        <v>0</v>
      </c>
      <c r="R194" s="9">
        <f>SUM(S194:U194)</f>
        <v>0</v>
      </c>
      <c r="S194" s="9">
        <v>0</v>
      </c>
      <c r="T194" s="9">
        <v>0</v>
      </c>
      <c r="U194" s="9">
        <v>0</v>
      </c>
      <c r="V194" s="9">
        <f>SUM(W194:AA194)</f>
        <v>0</v>
      </c>
      <c r="W194" s="9">
        <v>0</v>
      </c>
      <c r="X194" s="41">
        <v>0</v>
      </c>
      <c r="Y194" s="41">
        <v>0</v>
      </c>
      <c r="Z194" s="41">
        <v>0</v>
      </c>
      <c r="AA194" s="41">
        <v>0</v>
      </c>
      <c r="AB194" s="29" t="s">
        <v>4</v>
      </c>
    </row>
    <row r="195" spans="1:29" ht="60" x14ac:dyDescent="0.25">
      <c r="A195" s="64"/>
      <c r="B195" s="65"/>
      <c r="C195" s="64"/>
      <c r="D195" s="25"/>
      <c r="E195" s="25"/>
      <c r="F195" s="25"/>
      <c r="G195" s="25"/>
      <c r="H195" s="7" t="s">
        <v>6</v>
      </c>
      <c r="I195" s="37">
        <v>0</v>
      </c>
      <c r="J195" s="37">
        <f>J196</f>
        <v>298441.48193999985</v>
      </c>
      <c r="K195" s="37">
        <f t="shared" si="177"/>
        <v>0</v>
      </c>
      <c r="L195" s="37">
        <f t="shared" si="177"/>
        <v>298441.48193999985</v>
      </c>
      <c r="M195" s="9">
        <f>SUM(N195:Q195)</f>
        <v>0</v>
      </c>
      <c r="N195" s="9">
        <v>0</v>
      </c>
      <c r="O195" s="9">
        <v>0</v>
      </c>
      <c r="P195" s="9">
        <v>0</v>
      </c>
      <c r="Q195" s="9">
        <v>0</v>
      </c>
      <c r="R195" s="9">
        <f>SUM(S195:U195)</f>
        <v>0</v>
      </c>
      <c r="S195" s="9">
        <v>0</v>
      </c>
      <c r="T195" s="9">
        <v>0</v>
      </c>
      <c r="U195" s="9">
        <v>0</v>
      </c>
      <c r="V195" s="9">
        <f>SUM(W195:AA195)</f>
        <v>0</v>
      </c>
      <c r="W195" s="9">
        <v>0</v>
      </c>
      <c r="X195" s="41">
        <v>0</v>
      </c>
      <c r="Y195" s="41">
        <v>0</v>
      </c>
      <c r="Z195" s="41">
        <v>0</v>
      </c>
      <c r="AA195" s="41">
        <v>0</v>
      </c>
      <c r="AB195" s="29"/>
    </row>
    <row r="196" spans="1:29" ht="54.75" customHeight="1" x14ac:dyDescent="0.25">
      <c r="A196" s="66"/>
      <c r="B196" s="67"/>
      <c r="C196" s="66"/>
      <c r="D196" s="25"/>
      <c r="E196" s="25"/>
      <c r="F196" s="25"/>
      <c r="G196" s="25"/>
      <c r="H196" s="7" t="s">
        <v>8</v>
      </c>
      <c r="I196" s="37">
        <v>0</v>
      </c>
      <c r="J196" s="21">
        <v>298441.48193999985</v>
      </c>
      <c r="K196" s="9">
        <v>0</v>
      </c>
      <c r="L196" s="21">
        <v>298441.48193999985</v>
      </c>
      <c r="M196" s="9">
        <f>SUM(N196:Q196)</f>
        <v>0</v>
      </c>
      <c r="N196" s="9">
        <v>0</v>
      </c>
      <c r="O196" s="9">
        <v>0</v>
      </c>
      <c r="P196" s="9">
        <v>0</v>
      </c>
      <c r="Q196" s="9">
        <v>0</v>
      </c>
      <c r="R196" s="9">
        <f>SUM(S196:U196)</f>
        <v>0</v>
      </c>
      <c r="S196" s="9">
        <v>0</v>
      </c>
      <c r="T196" s="9">
        <v>0</v>
      </c>
      <c r="U196" s="9">
        <v>0</v>
      </c>
      <c r="V196" s="9">
        <f>SUM(W196:AA196)</f>
        <v>0</v>
      </c>
      <c r="W196" s="9">
        <v>0</v>
      </c>
      <c r="X196" s="41">
        <v>0</v>
      </c>
      <c r="Y196" s="41">
        <v>0</v>
      </c>
      <c r="Z196" s="41">
        <v>0</v>
      </c>
      <c r="AA196" s="41">
        <v>0</v>
      </c>
      <c r="AB196" s="29"/>
    </row>
    <row r="197" spans="1:29" x14ac:dyDescent="0.25">
      <c r="A197" s="68" t="s">
        <v>2</v>
      </c>
      <c r="B197" s="46"/>
      <c r="C197" s="14"/>
      <c r="D197" s="25" t="s">
        <v>4</v>
      </c>
      <c r="E197" s="25" t="s">
        <v>4</v>
      </c>
      <c r="F197" s="25" t="s">
        <v>4</v>
      </c>
      <c r="G197" s="25" t="s">
        <v>4</v>
      </c>
      <c r="H197" s="7" t="s">
        <v>5</v>
      </c>
      <c r="I197" s="9">
        <f>I198</f>
        <v>4565828.4693599995</v>
      </c>
      <c r="J197" s="37">
        <f>J198</f>
        <v>1078312.7819399999</v>
      </c>
      <c r="K197" s="37">
        <f>K198</f>
        <v>767222.34574000002</v>
      </c>
      <c r="L197" s="37">
        <f>L198</f>
        <v>311090.43619999988</v>
      </c>
      <c r="M197" s="37">
        <f>M198</f>
        <v>1276979.1476799999</v>
      </c>
      <c r="N197" s="37">
        <f t="shared" ref="N197:AA197" si="178">N198</f>
        <v>1261454.51241</v>
      </c>
      <c r="O197" s="37">
        <f>O198</f>
        <v>4776.63015</v>
      </c>
      <c r="P197" s="37">
        <f t="shared" si="178"/>
        <v>7387.2442600000013</v>
      </c>
      <c r="Q197" s="37">
        <f t="shared" si="178"/>
        <v>3360.7608599999999</v>
      </c>
      <c r="R197" s="37">
        <f t="shared" si="178"/>
        <v>1172147.0350400002</v>
      </c>
      <c r="S197" s="37">
        <f t="shared" si="178"/>
        <v>1099072.439</v>
      </c>
      <c r="T197" s="37">
        <f t="shared" si="178"/>
        <v>72372.124519999998</v>
      </c>
      <c r="U197" s="37">
        <f t="shared" si="178"/>
        <v>702.4715199999996</v>
      </c>
      <c r="V197" s="37">
        <f t="shared" si="178"/>
        <v>1992687.3677699999</v>
      </c>
      <c r="W197" s="37">
        <f t="shared" si="178"/>
        <v>1126988.736</v>
      </c>
      <c r="X197" s="37">
        <f t="shared" si="178"/>
        <v>332349.31699999998</v>
      </c>
      <c r="Y197" s="37">
        <f t="shared" si="178"/>
        <v>86295.848180000001</v>
      </c>
      <c r="Z197" s="37">
        <f t="shared" si="178"/>
        <v>142028.74547999998</v>
      </c>
      <c r="AA197" s="37">
        <f t="shared" si="178"/>
        <v>305024.72110999998</v>
      </c>
      <c r="AB197" s="29" t="s">
        <v>4</v>
      </c>
    </row>
    <row r="198" spans="1:29" ht="60" x14ac:dyDescent="0.25">
      <c r="A198" s="60"/>
      <c r="B198" s="14"/>
      <c r="C198" s="14"/>
      <c r="D198" s="25"/>
      <c r="E198" s="25"/>
      <c r="F198" s="25"/>
      <c r="G198" s="25"/>
      <c r="H198" s="7" t="s">
        <v>47</v>
      </c>
      <c r="I198" s="9">
        <f t="shared" ref="I198:M198" si="179">I199</f>
        <v>4565828.4693599995</v>
      </c>
      <c r="J198" s="37">
        <f t="shared" si="179"/>
        <v>1078312.7819399999</v>
      </c>
      <c r="K198" s="37">
        <f t="shared" si="179"/>
        <v>767222.34574000002</v>
      </c>
      <c r="L198" s="37">
        <f t="shared" si="179"/>
        <v>311090.43619999988</v>
      </c>
      <c r="M198" s="37">
        <f t="shared" si="179"/>
        <v>1276979.1476799999</v>
      </c>
      <c r="N198" s="37">
        <f t="shared" ref="N198:AA198" si="180">N199</f>
        <v>1261454.51241</v>
      </c>
      <c r="O198" s="37">
        <f>O199</f>
        <v>4776.63015</v>
      </c>
      <c r="P198" s="37">
        <f t="shared" si="180"/>
        <v>7387.2442600000013</v>
      </c>
      <c r="Q198" s="37">
        <f t="shared" si="180"/>
        <v>3360.7608599999999</v>
      </c>
      <c r="R198" s="37">
        <f t="shared" si="180"/>
        <v>1172147.0350400002</v>
      </c>
      <c r="S198" s="37">
        <f t="shared" si="180"/>
        <v>1099072.439</v>
      </c>
      <c r="T198" s="37">
        <f t="shared" si="180"/>
        <v>72372.124519999998</v>
      </c>
      <c r="U198" s="37">
        <f t="shared" si="180"/>
        <v>702.4715199999996</v>
      </c>
      <c r="V198" s="37">
        <f t="shared" si="180"/>
        <v>1992687.3677699999</v>
      </c>
      <c r="W198" s="37">
        <f t="shared" si="180"/>
        <v>1126988.736</v>
      </c>
      <c r="X198" s="37">
        <f t="shared" si="180"/>
        <v>332349.31699999998</v>
      </c>
      <c r="Y198" s="37">
        <f t="shared" si="180"/>
        <v>86295.848180000001</v>
      </c>
      <c r="Z198" s="37">
        <f t="shared" si="180"/>
        <v>142028.74547999998</v>
      </c>
      <c r="AA198" s="37">
        <f t="shared" si="180"/>
        <v>305024.72110999998</v>
      </c>
      <c r="AB198" s="29"/>
    </row>
    <row r="199" spans="1:29" ht="46.5" customHeight="1" x14ac:dyDescent="0.25">
      <c r="A199" s="60"/>
      <c r="B199" s="14"/>
      <c r="C199" s="14"/>
      <c r="D199" s="25"/>
      <c r="E199" s="25"/>
      <c r="F199" s="25"/>
      <c r="G199" s="25"/>
      <c r="H199" s="7" t="s">
        <v>8</v>
      </c>
      <c r="I199" s="9">
        <f>I181+I157+I124+I106+I97+I79+I61+I34+I13</f>
        <v>4565828.4693599995</v>
      </c>
      <c r="J199" s="69">
        <f>J181+J157+J124+J106+J97+J79+J61+J34+J13+J196</f>
        <v>1078312.7819399999</v>
      </c>
      <c r="K199" s="37">
        <f>K181+K157+K124+K106+K97+K79+K61+K34+K13</f>
        <v>767222.34574000002</v>
      </c>
      <c r="L199" s="37">
        <f>L181+L157+L124+L106+L97+L79+L61+L34+L13+L196</f>
        <v>311090.43619999988</v>
      </c>
      <c r="M199" s="37">
        <f t="shared" ref="M199:W199" si="181">M181+M157+M124+M106+M97+M79+M61+M34+M13</f>
        <v>1276979.1476799999</v>
      </c>
      <c r="N199" s="69">
        <f t="shared" si="181"/>
        <v>1261454.51241</v>
      </c>
      <c r="O199" s="37">
        <f t="shared" si="181"/>
        <v>4776.63015</v>
      </c>
      <c r="P199" s="37">
        <f t="shared" si="181"/>
        <v>7387.2442600000013</v>
      </c>
      <c r="Q199" s="37">
        <f t="shared" si="181"/>
        <v>3360.7608599999999</v>
      </c>
      <c r="R199" s="37">
        <f t="shared" si="181"/>
        <v>1172147.0350400002</v>
      </c>
      <c r="S199" s="69">
        <f t="shared" si="181"/>
        <v>1099072.439</v>
      </c>
      <c r="T199" s="37">
        <f t="shared" si="181"/>
        <v>72372.124519999998</v>
      </c>
      <c r="U199" s="37">
        <f t="shared" si="181"/>
        <v>702.4715199999996</v>
      </c>
      <c r="V199" s="37">
        <f t="shared" si="181"/>
        <v>1992687.3677699999</v>
      </c>
      <c r="W199" s="69">
        <f t="shared" si="181"/>
        <v>1126988.736</v>
      </c>
      <c r="X199" s="37">
        <f t="shared" ref="X199:AA199" si="182">X181+X157+X124+X106+X97+X79+X61+X34+X13</f>
        <v>332349.31699999998</v>
      </c>
      <c r="Y199" s="37">
        <f t="shared" si="182"/>
        <v>86295.848180000001</v>
      </c>
      <c r="Z199" s="37">
        <f t="shared" si="182"/>
        <v>142028.74547999998</v>
      </c>
      <c r="AA199" s="37">
        <f t="shared" si="182"/>
        <v>305024.72110999998</v>
      </c>
      <c r="AB199" s="29"/>
    </row>
    <row r="200" spans="1:29" ht="26.25" customHeight="1" x14ac:dyDescent="0.25">
      <c r="A200" s="70" t="s">
        <v>98</v>
      </c>
      <c r="B200" s="71"/>
      <c r="C200" s="71"/>
      <c r="D200" s="71"/>
      <c r="E200" s="71"/>
      <c r="F200" s="71"/>
      <c r="G200" s="71"/>
      <c r="H200" s="71"/>
      <c r="I200" s="15">
        <v>4565828.4693599995</v>
      </c>
      <c r="J200" s="16">
        <v>1078312.7819399999</v>
      </c>
      <c r="K200" s="17"/>
      <c r="L200" s="16"/>
      <c r="M200" s="17"/>
      <c r="N200" s="18">
        <v>1261454.51242</v>
      </c>
      <c r="O200" s="19"/>
      <c r="P200" s="19"/>
      <c r="Q200" s="19"/>
      <c r="R200" s="19"/>
      <c r="S200" s="20">
        <v>1099072.439</v>
      </c>
      <c r="T200" s="19"/>
      <c r="U200" s="19"/>
      <c r="V200" s="15"/>
      <c r="W200" s="20">
        <v>1126988.736</v>
      </c>
      <c r="X200" s="76"/>
      <c r="Y200" s="75"/>
      <c r="Z200" s="75"/>
      <c r="AA200" s="75"/>
      <c r="AB200" s="71"/>
      <c r="AC200" s="77"/>
    </row>
    <row r="201" spans="1:29" ht="15" customHeight="1" x14ac:dyDescent="0.25">
      <c r="A201" s="70" t="s">
        <v>113</v>
      </c>
      <c r="B201" s="71"/>
      <c r="C201" s="71"/>
      <c r="D201" s="71"/>
      <c r="E201" s="71"/>
      <c r="F201" s="71"/>
      <c r="G201" s="71"/>
      <c r="H201" s="71"/>
      <c r="I201" s="16">
        <f>I200-I199</f>
        <v>0</v>
      </c>
      <c r="J201" s="18">
        <f>J200-J199</f>
        <v>0</v>
      </c>
      <c r="K201" s="17"/>
      <c r="L201" s="16"/>
      <c r="M201" s="17"/>
      <c r="N201" s="18">
        <f>N200-N199</f>
        <v>1.0000076144933701E-5</v>
      </c>
      <c r="O201" s="19"/>
      <c r="P201" s="19"/>
      <c r="Q201" s="19"/>
      <c r="R201" s="19"/>
      <c r="S201" s="18">
        <f>S200-S199</f>
        <v>0</v>
      </c>
      <c r="T201" s="19"/>
      <c r="U201" s="19"/>
      <c r="V201" s="18"/>
      <c r="W201" s="18">
        <f>W200-W199</f>
        <v>0</v>
      </c>
      <c r="X201" s="74"/>
      <c r="Y201" s="75"/>
      <c r="Z201" s="75"/>
      <c r="AA201" s="75"/>
      <c r="AB201" s="71"/>
      <c r="AC201" s="77"/>
    </row>
    <row r="202" spans="1:29" x14ac:dyDescent="0.25">
      <c r="A202" s="71" t="s">
        <v>108</v>
      </c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3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1"/>
      <c r="AC202" s="77"/>
    </row>
    <row r="203" spans="1:29" x14ac:dyDescent="0.25">
      <c r="A203" s="71" t="s">
        <v>85</v>
      </c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7"/>
    </row>
    <row r="204" spans="1:29" x14ac:dyDescent="0.25">
      <c r="A204" s="11" t="s">
        <v>114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77"/>
    </row>
    <row r="205" spans="1:29" x14ac:dyDescent="0.25">
      <c r="A205" s="8" t="s">
        <v>118</v>
      </c>
    </row>
    <row r="206" spans="1:29" x14ac:dyDescent="0.25">
      <c r="A206" s="8" t="s">
        <v>112</v>
      </c>
    </row>
    <row r="207" spans="1:29" x14ac:dyDescent="0.25">
      <c r="A207" s="71" t="s">
        <v>108</v>
      </c>
    </row>
    <row r="208" spans="1:29" x14ac:dyDescent="0.25">
      <c r="A208" s="71" t="s">
        <v>172</v>
      </c>
    </row>
    <row r="209" spans="1:28" x14ac:dyDescent="0.25">
      <c r="A209" s="11" t="s">
        <v>173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x14ac:dyDescent="0.25">
      <c r="A210" s="8" t="s">
        <v>134</v>
      </c>
    </row>
    <row r="211" spans="1:28" x14ac:dyDescent="0.25">
      <c r="A211" s="71" t="s">
        <v>108</v>
      </c>
    </row>
    <row r="212" spans="1:28" x14ac:dyDescent="0.25">
      <c r="A212" s="71" t="s">
        <v>174</v>
      </c>
    </row>
    <row r="213" spans="1:28" ht="15" customHeight="1" x14ac:dyDescent="0.25">
      <c r="A213" s="11" t="s">
        <v>170</v>
      </c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x14ac:dyDescent="0.25">
      <c r="A214" s="8" t="s">
        <v>144</v>
      </c>
    </row>
  </sheetData>
  <mergeCells count="387">
    <mergeCell ref="I8:I9"/>
    <mergeCell ref="AB8:AB9"/>
    <mergeCell ref="C8:C9"/>
    <mergeCell ref="D8:D9"/>
    <mergeCell ref="E8:E9"/>
    <mergeCell ref="F8:F9"/>
    <mergeCell ref="G8:G9"/>
    <mergeCell ref="H8:H9"/>
    <mergeCell ref="C185:C187"/>
    <mergeCell ref="V8:AA8"/>
    <mergeCell ref="D56:D58"/>
    <mergeCell ref="E56:E58"/>
    <mergeCell ref="F56:F58"/>
    <mergeCell ref="G56:G58"/>
    <mergeCell ref="E68:E73"/>
    <mergeCell ref="F68:F73"/>
    <mergeCell ref="G68:G73"/>
    <mergeCell ref="E83:E85"/>
    <mergeCell ref="F83:F85"/>
    <mergeCell ref="G173:G175"/>
    <mergeCell ref="G176:G178"/>
    <mergeCell ref="F176:F178"/>
    <mergeCell ref="D182:D184"/>
    <mergeCell ref="E182:E184"/>
    <mergeCell ref="F182:F184"/>
    <mergeCell ref="G182:G184"/>
    <mergeCell ref="AB182:AB184"/>
    <mergeCell ref="E176:E178"/>
    <mergeCell ref="D176:D178"/>
    <mergeCell ref="A209:AB209"/>
    <mergeCell ref="D104:D105"/>
    <mergeCell ref="E104:E105"/>
    <mergeCell ref="F104:F105"/>
    <mergeCell ref="G104:G105"/>
    <mergeCell ref="AB104:AB105"/>
    <mergeCell ref="A204:AB204"/>
    <mergeCell ref="AB188:AB190"/>
    <mergeCell ref="AB191:AB193"/>
    <mergeCell ref="D188:D190"/>
    <mergeCell ref="E188:E190"/>
    <mergeCell ref="F188:F190"/>
    <mergeCell ref="G188:G190"/>
    <mergeCell ref="D191:D193"/>
    <mergeCell ref="E191:E193"/>
    <mergeCell ref="F191:F193"/>
    <mergeCell ref="G191:G193"/>
    <mergeCell ref="C188:C190"/>
    <mergeCell ref="C191:C193"/>
    <mergeCell ref="C176:C178"/>
    <mergeCell ref="C173:C175"/>
    <mergeCell ref="C170:C172"/>
    <mergeCell ref="AB170:AB172"/>
    <mergeCell ref="AB173:AB175"/>
    <mergeCell ref="D11:D13"/>
    <mergeCell ref="E11:E13"/>
    <mergeCell ref="F11:F13"/>
    <mergeCell ref="G11:G13"/>
    <mergeCell ref="AB26:AB28"/>
    <mergeCell ref="C23:C25"/>
    <mergeCell ref="D23:D25"/>
    <mergeCell ref="E23:E25"/>
    <mergeCell ref="F23:F25"/>
    <mergeCell ref="G23:G25"/>
    <mergeCell ref="AB23:AB25"/>
    <mergeCell ref="C20:C22"/>
    <mergeCell ref="D20:D22"/>
    <mergeCell ref="E20:E22"/>
    <mergeCell ref="F20:F22"/>
    <mergeCell ref="G20:G22"/>
    <mergeCell ref="C26:C28"/>
    <mergeCell ref="D26:D28"/>
    <mergeCell ref="E26:E28"/>
    <mergeCell ref="F26:F28"/>
    <mergeCell ref="G26:G28"/>
    <mergeCell ref="AB20:AB22"/>
    <mergeCell ref="C41:C43"/>
    <mergeCell ref="D41:D43"/>
    <mergeCell ref="E41:E43"/>
    <mergeCell ref="F41:F43"/>
    <mergeCell ref="G41:G43"/>
    <mergeCell ref="AB41:AB43"/>
    <mergeCell ref="D32:D34"/>
    <mergeCell ref="AB32:AB34"/>
    <mergeCell ref="AB35:AB37"/>
    <mergeCell ref="C38:C40"/>
    <mergeCell ref="D38:D40"/>
    <mergeCell ref="E38:E40"/>
    <mergeCell ref="F38:F40"/>
    <mergeCell ref="G38:G40"/>
    <mergeCell ref="AB38:AB40"/>
    <mergeCell ref="C35:C37"/>
    <mergeCell ref="D35:D37"/>
    <mergeCell ref="E35:E37"/>
    <mergeCell ref="F35:F37"/>
    <mergeCell ref="G35:G37"/>
    <mergeCell ref="E32:E34"/>
    <mergeCell ref="F32:F34"/>
    <mergeCell ref="C47:C49"/>
    <mergeCell ref="D47:D49"/>
    <mergeCell ref="E47:E49"/>
    <mergeCell ref="F47:F49"/>
    <mergeCell ref="G47:G49"/>
    <mergeCell ref="AB47:AB49"/>
    <mergeCell ref="C44:C46"/>
    <mergeCell ref="D44:D46"/>
    <mergeCell ref="E44:E46"/>
    <mergeCell ref="F44:F46"/>
    <mergeCell ref="G44:G46"/>
    <mergeCell ref="AB44:AB46"/>
    <mergeCell ref="G32:G34"/>
    <mergeCell ref="C53:C55"/>
    <mergeCell ref="D53:D55"/>
    <mergeCell ref="E53:E55"/>
    <mergeCell ref="F53:F55"/>
    <mergeCell ref="G53:G55"/>
    <mergeCell ref="AB53:AB55"/>
    <mergeCell ref="C50:C52"/>
    <mergeCell ref="D50:D52"/>
    <mergeCell ref="E50:E52"/>
    <mergeCell ref="F50:F52"/>
    <mergeCell ref="G50:G52"/>
    <mergeCell ref="AB50:AB52"/>
    <mergeCell ref="AB56:AB58"/>
    <mergeCell ref="C59:C61"/>
    <mergeCell ref="D59:D61"/>
    <mergeCell ref="E59:E61"/>
    <mergeCell ref="F59:F61"/>
    <mergeCell ref="G59:G61"/>
    <mergeCell ref="AB59:AB61"/>
    <mergeCell ref="C56:C58"/>
    <mergeCell ref="F92:F94"/>
    <mergeCell ref="C62:C64"/>
    <mergeCell ref="D62:D67"/>
    <mergeCell ref="E62:E67"/>
    <mergeCell ref="F62:F67"/>
    <mergeCell ref="G62:G67"/>
    <mergeCell ref="AB62:AB67"/>
    <mergeCell ref="C65:C67"/>
    <mergeCell ref="C74:C76"/>
    <mergeCell ref="D74:D76"/>
    <mergeCell ref="E74:E76"/>
    <mergeCell ref="F74:F76"/>
    <mergeCell ref="G74:G76"/>
    <mergeCell ref="AB74:AB76"/>
    <mergeCell ref="C68:C70"/>
    <mergeCell ref="D68:D73"/>
    <mergeCell ref="AB68:AB73"/>
    <mergeCell ref="C71:C73"/>
    <mergeCell ref="G83:G85"/>
    <mergeCell ref="AB83:AB85"/>
    <mergeCell ref="C86:C88"/>
    <mergeCell ref="D86:D88"/>
    <mergeCell ref="E86:E88"/>
    <mergeCell ref="F86:F88"/>
    <mergeCell ref="G86:G88"/>
    <mergeCell ref="AB86:AB88"/>
    <mergeCell ref="G77:G79"/>
    <mergeCell ref="AB77:AB79"/>
    <mergeCell ref="C80:C82"/>
    <mergeCell ref="D80:D82"/>
    <mergeCell ref="E80:E82"/>
    <mergeCell ref="F80:F82"/>
    <mergeCell ref="G80:G82"/>
    <mergeCell ref="AB80:AB82"/>
    <mergeCell ref="C77:C79"/>
    <mergeCell ref="D77:D79"/>
    <mergeCell ref="E77:E79"/>
    <mergeCell ref="F77:F79"/>
    <mergeCell ref="C83:C85"/>
    <mergeCell ref="D83:D85"/>
    <mergeCell ref="G92:G94"/>
    <mergeCell ref="AB92:AB94"/>
    <mergeCell ref="C89:C91"/>
    <mergeCell ref="D89:D91"/>
    <mergeCell ref="E89:E91"/>
    <mergeCell ref="F89:F91"/>
    <mergeCell ref="G89:G91"/>
    <mergeCell ref="AB89:AB91"/>
    <mergeCell ref="AB101:AB103"/>
    <mergeCell ref="C98:C100"/>
    <mergeCell ref="D98:D100"/>
    <mergeCell ref="E98:E100"/>
    <mergeCell ref="F98:F100"/>
    <mergeCell ref="G98:G100"/>
    <mergeCell ref="AB98:AB100"/>
    <mergeCell ref="AB95:AB97"/>
    <mergeCell ref="C95:C97"/>
    <mergeCell ref="D95:D97"/>
    <mergeCell ref="E95:E97"/>
    <mergeCell ref="F95:F97"/>
    <mergeCell ref="G95:G97"/>
    <mergeCell ref="C92:C94"/>
    <mergeCell ref="D92:D94"/>
    <mergeCell ref="E92:E94"/>
    <mergeCell ref="C101:C103"/>
    <mergeCell ref="D101:D103"/>
    <mergeCell ref="E101:E103"/>
    <mergeCell ref="F101:F103"/>
    <mergeCell ref="G101:G103"/>
    <mergeCell ref="C116:C118"/>
    <mergeCell ref="D116:D118"/>
    <mergeCell ref="E116:E118"/>
    <mergeCell ref="F116:F118"/>
    <mergeCell ref="G116:G118"/>
    <mergeCell ref="G110:G112"/>
    <mergeCell ref="C107:C109"/>
    <mergeCell ref="D107:D109"/>
    <mergeCell ref="E107:E109"/>
    <mergeCell ref="F107:F109"/>
    <mergeCell ref="G107:G109"/>
    <mergeCell ref="AB107:AB109"/>
    <mergeCell ref="AB122:AB124"/>
    <mergeCell ref="D110:D112"/>
    <mergeCell ref="E110:E112"/>
    <mergeCell ref="F110:F112"/>
    <mergeCell ref="G122:G124"/>
    <mergeCell ref="D122:D124"/>
    <mergeCell ref="C110:C112"/>
    <mergeCell ref="C113:C115"/>
    <mergeCell ref="AB113:AB115"/>
    <mergeCell ref="D113:D115"/>
    <mergeCell ref="E113:E115"/>
    <mergeCell ref="F113:F115"/>
    <mergeCell ref="G113:G115"/>
    <mergeCell ref="AB116:AB118"/>
    <mergeCell ref="F122:F124"/>
    <mergeCell ref="E122:E124"/>
    <mergeCell ref="G119:G121"/>
    <mergeCell ref="F119:F121"/>
    <mergeCell ref="E119:E121"/>
    <mergeCell ref="D119:D121"/>
    <mergeCell ref="C119:C121"/>
    <mergeCell ref="AB119:AB121"/>
    <mergeCell ref="C128:C130"/>
    <mergeCell ref="AB140:AB142"/>
    <mergeCell ref="E128:E130"/>
    <mergeCell ref="F128:F130"/>
    <mergeCell ref="G128:G130"/>
    <mergeCell ref="G134:G136"/>
    <mergeCell ref="G143:G145"/>
    <mergeCell ref="AB143:AB145"/>
    <mergeCell ref="AB128:AB130"/>
    <mergeCell ref="AB134:AB136"/>
    <mergeCell ref="D137:D139"/>
    <mergeCell ref="E137:E139"/>
    <mergeCell ref="F137:F139"/>
    <mergeCell ref="G137:G139"/>
    <mergeCell ref="AB137:AB139"/>
    <mergeCell ref="AB131:AB133"/>
    <mergeCell ref="C140:C142"/>
    <mergeCell ref="D140:D142"/>
    <mergeCell ref="E140:E142"/>
    <mergeCell ref="F140:F142"/>
    <mergeCell ref="D128:D130"/>
    <mergeCell ref="C137:C139"/>
    <mergeCell ref="C143:C145"/>
    <mergeCell ref="G167:G169"/>
    <mergeCell ref="AB167:AB169"/>
    <mergeCell ref="G164:G166"/>
    <mergeCell ref="AB164:AB166"/>
    <mergeCell ref="G161:G163"/>
    <mergeCell ref="AB161:AB163"/>
    <mergeCell ref="G155:G157"/>
    <mergeCell ref="D161:D163"/>
    <mergeCell ref="E161:E163"/>
    <mergeCell ref="F161:F163"/>
    <mergeCell ref="F164:F166"/>
    <mergeCell ref="G140:G142"/>
    <mergeCell ref="AB155:AB157"/>
    <mergeCell ref="D131:D133"/>
    <mergeCell ref="E131:E133"/>
    <mergeCell ref="F131:F133"/>
    <mergeCell ref="AB158:AB160"/>
    <mergeCell ref="G152:G154"/>
    <mergeCell ref="AB152:AB154"/>
    <mergeCell ref="AB125:AB127"/>
    <mergeCell ref="AB149:AB151"/>
    <mergeCell ref="C11:C13"/>
    <mergeCell ref="C152:C154"/>
    <mergeCell ref="D197:D199"/>
    <mergeCell ref="E197:E199"/>
    <mergeCell ref="F197:F199"/>
    <mergeCell ref="G197:G199"/>
    <mergeCell ref="AB197:AB199"/>
    <mergeCell ref="G179:G181"/>
    <mergeCell ref="AB179:AB181"/>
    <mergeCell ref="D155:D157"/>
    <mergeCell ref="E155:E157"/>
    <mergeCell ref="E167:E169"/>
    <mergeCell ref="F155:F157"/>
    <mergeCell ref="AB176:AB178"/>
    <mergeCell ref="G185:G187"/>
    <mergeCell ref="D185:D187"/>
    <mergeCell ref="E185:E187"/>
    <mergeCell ref="F185:F187"/>
    <mergeCell ref="AB185:AB187"/>
    <mergeCell ref="E125:E127"/>
    <mergeCell ref="F125:F127"/>
    <mergeCell ref="E158:E160"/>
    <mergeCell ref="F158:F160"/>
    <mergeCell ref="F152:F154"/>
    <mergeCell ref="AB146:AB148"/>
    <mergeCell ref="A4:AB7"/>
    <mergeCell ref="B8:B9"/>
    <mergeCell ref="A8:A9"/>
    <mergeCell ref="C17:C19"/>
    <mergeCell ref="D17:D19"/>
    <mergeCell ref="E17:E19"/>
    <mergeCell ref="AB29:AB31"/>
    <mergeCell ref="C29:C31"/>
    <mergeCell ref="D29:D31"/>
    <mergeCell ref="E29:E31"/>
    <mergeCell ref="F29:F31"/>
    <mergeCell ref="G29:G31"/>
    <mergeCell ref="M8:Q8"/>
    <mergeCell ref="AB17:AB19"/>
    <mergeCell ref="AB11:AB13"/>
    <mergeCell ref="C14:C16"/>
    <mergeCell ref="D14:D16"/>
    <mergeCell ref="E14:E16"/>
    <mergeCell ref="F14:F16"/>
    <mergeCell ref="G14:G16"/>
    <mergeCell ref="AB14:AB16"/>
    <mergeCell ref="F17:F19"/>
    <mergeCell ref="G17:G19"/>
    <mergeCell ref="C125:C127"/>
    <mergeCell ref="G146:G148"/>
    <mergeCell ref="C179:C181"/>
    <mergeCell ref="G158:G160"/>
    <mergeCell ref="C149:C151"/>
    <mergeCell ref="D149:D151"/>
    <mergeCell ref="E149:E151"/>
    <mergeCell ref="F149:F151"/>
    <mergeCell ref="G149:G151"/>
    <mergeCell ref="G170:G172"/>
    <mergeCell ref="F170:F172"/>
    <mergeCell ref="E170:E172"/>
    <mergeCell ref="D170:D172"/>
    <mergeCell ref="D152:D154"/>
    <mergeCell ref="E152:E154"/>
    <mergeCell ref="D173:D175"/>
    <mergeCell ref="E173:E175"/>
    <mergeCell ref="F173:F175"/>
    <mergeCell ref="D125:D127"/>
    <mergeCell ref="F167:F169"/>
    <mergeCell ref="D164:D166"/>
    <mergeCell ref="E164:E166"/>
    <mergeCell ref="C146:C148"/>
    <mergeCell ref="D146:D148"/>
    <mergeCell ref="E134:E136"/>
    <mergeCell ref="F134:F136"/>
    <mergeCell ref="C164:C166"/>
    <mergeCell ref="C158:C160"/>
    <mergeCell ref="D158:D160"/>
    <mergeCell ref="C167:C169"/>
    <mergeCell ref="C155:C157"/>
    <mergeCell ref="C161:C163"/>
    <mergeCell ref="D179:D181"/>
    <mergeCell ref="E179:E181"/>
    <mergeCell ref="F179:F181"/>
    <mergeCell ref="E146:E148"/>
    <mergeCell ref="F146:F148"/>
    <mergeCell ref="D167:D169"/>
    <mergeCell ref="U1:AB2"/>
    <mergeCell ref="A213:AB213"/>
    <mergeCell ref="D194:D196"/>
    <mergeCell ref="E194:E196"/>
    <mergeCell ref="F194:F196"/>
    <mergeCell ref="G194:G196"/>
    <mergeCell ref="A194:A196"/>
    <mergeCell ref="B194:C196"/>
    <mergeCell ref="AB194:AB196"/>
    <mergeCell ref="C182:C184"/>
    <mergeCell ref="A197:C199"/>
    <mergeCell ref="J8:L8"/>
    <mergeCell ref="R8:U8"/>
    <mergeCell ref="AB110:AB112"/>
    <mergeCell ref="C32:C34"/>
    <mergeCell ref="G125:G127"/>
    <mergeCell ref="C122:C124"/>
    <mergeCell ref="G131:G133"/>
    <mergeCell ref="D143:D145"/>
    <mergeCell ref="E143:E145"/>
    <mergeCell ref="F143:F145"/>
    <mergeCell ref="C131:C133"/>
    <mergeCell ref="C134:C136"/>
    <mergeCell ref="D134:D136"/>
  </mergeCells>
  <printOptions horizontalCentered="1"/>
  <pageMargins left="0.31496062992125984" right="0.31496062992125984" top="0.94488188976377963" bottom="0.35433070866141736" header="0.31496062992125984" footer="0.31496062992125984"/>
  <pageSetup paperSize="9" scale="27" fitToHeight="0" orientation="landscape" r:id="rId1"/>
  <headerFooter>
    <oddHeader>&amp;C&amp;"Times New Roman,обычный"&amp;P</oddHeader>
  </headerFooter>
  <rowBreaks count="7" manualBreakCount="7">
    <brk id="22" max="29" man="1"/>
    <brk id="46" max="29" man="1"/>
    <brk id="67" max="29" man="1"/>
    <brk id="94" max="29" man="1"/>
    <brk id="115" max="29" man="1"/>
    <brk id="139" max="29" man="1"/>
    <brk id="16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Минстрой 77</dc:creator>
  <cp:lastModifiedBy>Минстрой 77</cp:lastModifiedBy>
  <cp:lastPrinted>2025-01-20T05:25:47Z</cp:lastPrinted>
  <dcterms:created xsi:type="dcterms:W3CDTF">2023-09-26T17:04:55Z</dcterms:created>
  <dcterms:modified xsi:type="dcterms:W3CDTF">2025-01-21T12:01:18Z</dcterms:modified>
</cp:coreProperties>
</file>