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revisions/revisionLog1361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16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36.xml" ContentType="application/vnd.openxmlformats-officedocument.spreadsheetml.revisionLo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Override PartName="/xl/revisions/revisionLog1262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34.xml" ContentType="application/vnd.openxmlformats-officedocument.spreadsheetml.revisionLog+xml"/>
  <Default Extension="xml" ContentType="application/xml"/>
  <Override PartName="/xl/worksheets/sheet5.xml" ContentType="application/vnd.openxmlformats-officedocument.spreadsheetml.worksheet+xml"/>
  <Override PartName="/xl/revisions/revisionLog112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712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4.xml" ContentType="application/vnd.openxmlformats-officedocument.spreadsheetml.revisionLog+xml"/>
  <Override PartName="/xl/revisions/revisionLog130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132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3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341.xml" ContentType="application/vnd.openxmlformats-officedocument.spreadsheetml.revisionLog+xml"/>
  <Override PartName="/xl/revisions/revisionLog132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1431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3211.xml" ContentType="application/vnd.openxmlformats-officedocument.spreadsheetml.revisionLog+xml"/>
  <Override PartName="/xl/revisions/revisionLog1132111.xml" ContentType="application/vnd.openxmlformats-officedocument.spreadsheetml.revisionLog+xml"/>
  <Override PartName="/xl/revisions/revisionLog139.xml" ContentType="application/vnd.openxmlformats-officedocument.spreadsheetml.revisionLog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1143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122.xml" ContentType="application/vnd.openxmlformats-officedocument.spreadsheetml.revisionLo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revisions/revisionLog126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35.xml" ContentType="application/vnd.openxmlformats-officedocument.spreadsheetml.revisionLo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71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33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43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711.xml" ContentType="application/vnd.openxmlformats-officedocument.spreadsheetml.revisionLog+xml"/>
  <Override PartName="/xl/revisions/revisionLog1713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42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71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3711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163.xml" ContentType="application/vnd.openxmlformats-officedocument.spreadsheetml.revisionLog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revisions/revisionLog1161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3311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2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3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2" activeTab="2"/>
  </bookViews>
  <sheets>
    <sheet name="Консол" sheetId="1" state="hidden" r:id="rId1"/>
    <sheet name="Справка" sheetId="2" state="hidden" r:id="rId2"/>
    <sheet name="район" sheetId="3" r:id="rId3"/>
    <sheet name="Лист5" sheetId="24" state="hidden" r:id="rId4"/>
    <sheet name="Але" sheetId="4" state="hidden" r:id="rId5"/>
    <sheet name="Сун" sheetId="5" state="hidden" r:id="rId6"/>
    <sheet name="Иль" sheetId="6" state="hidden" r:id="rId7"/>
    <sheet name="Кад" sheetId="7" state="hidden" r:id="rId8"/>
    <sheet name="Мор" sheetId="8" state="hidden" r:id="rId9"/>
    <sheet name="Мос" sheetId="9" state="hidden" r:id="rId10"/>
    <sheet name="Ори" sheetId="10" state="hidden" r:id="rId11"/>
    <sheet name="Сят" sheetId="11" state="hidden" r:id="rId12"/>
    <sheet name="Тор" sheetId="12" state="hidden" r:id="rId13"/>
    <sheet name="Хор" sheetId="13" state="hidden" r:id="rId14"/>
    <sheet name="Чум" sheetId="14" state="hidden" r:id="rId15"/>
    <sheet name="Шать" sheetId="15" state="hidden" r:id="rId16"/>
    <sheet name="Юнг" sheetId="16" state="hidden" r:id="rId17"/>
    <sheet name="Юсь" sheetId="17" state="hidden" r:id="rId18"/>
    <sheet name="Яра" sheetId="18" state="hidden" r:id="rId19"/>
    <sheet name="Ярос" sheetId="19" state="hidden" r:id="rId20"/>
    <sheet name="Лист1" sheetId="20" state="hidden" r:id="rId21"/>
    <sheet name="Лист2" sheetId="21" state="hidden" r:id="rId22"/>
    <sheet name="Лист3" sheetId="22" state="hidden" r:id="rId23"/>
    <sheet name="Лист4" sheetId="23" state="hidden" r:id="rId24"/>
    <sheet name="Лист6" sheetId="25" state="hidden" r:id="rId25"/>
  </sheets>
  <definedNames>
    <definedName name="Z_1718F1EE_9F48_4DBE_9531_3B70F9C4A5DD_.wvu.Cols" localSheetId="1" hidden="1">Справка!$BB:$BD,Справка!$BH:$BJ,Справка!$BN:$BV,Справка!$BZ:$CE,Справка!$DD:$DL</definedName>
    <definedName name="Z_1718F1EE_9F48_4DBE_9531_3B70F9C4A5DD_.wvu.PrintArea" localSheetId="6" hidden="1">Иль!$A$1:$F$103</definedName>
    <definedName name="Z_1718F1EE_9F48_4DBE_9531_3B70F9C4A5DD_.wvu.PrintArea" localSheetId="0" hidden="1">Консол!$A$1:$H$52</definedName>
    <definedName name="Z_1718F1EE_9F48_4DBE_9531_3B70F9C4A5DD_.wvu.PrintArea" localSheetId="8" hidden="1">Мор!$A$1:$F$101</definedName>
    <definedName name="Z_1718F1EE_9F48_4DBE_9531_3B70F9C4A5DD_.wvu.PrintArea" localSheetId="1" hidden="1">Справка!$A$1:$FE$31</definedName>
    <definedName name="Z_1718F1EE_9F48_4DBE_9531_3B70F9C4A5DD_.wvu.PrintArea" localSheetId="12" hidden="1">Тор!$A$1:$F$101</definedName>
    <definedName name="Z_1718F1EE_9F48_4DBE_9531_3B70F9C4A5DD_.wvu.PrintArea" localSheetId="16" hidden="1">Юнг!$A$1:$F$100</definedName>
    <definedName name="Z_1718F1EE_9F48_4DBE_9531_3B70F9C4A5DD_.wvu.PrintArea" localSheetId="18" hidden="1">Яра!$A$1:$F$102</definedName>
    <definedName name="Z_1718F1EE_9F48_4DBE_9531_3B70F9C4A5DD_.wvu.Rows" localSheetId="4" hidden="1">Але!$19:$24,Але!$28:$28,Але!$46:$46,Але!$53:$53,Але!$55:$57,Але!$63:$64,Але!$70:$70,Але!$72:$72,Але!$74:$74,Але!$79:$83,Але!$86:$93,Але!$142:$142</definedName>
    <definedName name="Z_1718F1EE_9F48_4DBE_9531_3B70F9C4A5DD_.wvu.Rows" localSheetId="6" hidden="1">Иль!$19:$24,Иль!$57:$57,Иль!$59:$61,Иль!$67:$68,Иль!$77:$78,Иль!$80:$80,Иль!$85:$89,Иль!$92:$99,Иль!$142:$142</definedName>
    <definedName name="Z_1718F1EE_9F48_4DBE_9531_3B70F9C4A5DD_.wvu.Rows" localSheetId="7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Консол!$22:$22,Консол!$45:$47</definedName>
    <definedName name="Z_1718F1EE_9F48_4DBE_9531_3B70F9C4A5DD_.wvu.Rows" localSheetId="20" hidden="1">Лист1!$82:$84</definedName>
    <definedName name="Z_1718F1EE_9F48_4DBE_9531_3B70F9C4A5DD_.wvu.Rows" localSheetId="8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9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10" hidden="1">Ори!$19:$24,Ори!$32:$36,Ори!$45:$45,Ори!$47:$47,Ори!$49:$51,Ори!$58:$58,Ори!$60:$62,Ори!$68:$69,Ори!$79:$80,Ори!$82:$82,Ори!$85:$89,Ори!$92:$99,Ори!$143:$143</definedName>
    <definedName name="Z_1718F1EE_9F48_4DBE_9531_3B70F9C4A5DD_.wvu.Rows" localSheetId="5" hidden="1">Сун!$19:$24,Сун!$35:$35,Сун!$44:$44,Сун!$46:$46,Сун!$50:$52,Сун!$59:$59,Сун!$61:$63,Сун!$69:$70,Сун!$80:$80,Сун!$83:$83,Сун!$86:$91,Сун!$94:$101,Сун!$143:$143</definedName>
    <definedName name="Z_1718F1EE_9F48_4DBE_9531_3B70F9C4A5DD_.wvu.Rows" localSheetId="11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2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3" hidden="1">Хор!$19:$22,Хор!$26:$35,Хор!$39:$39,Хор!$43:$43,Хор!$45:$47,Хор!$54:$54,Хор!$56:$58,Хор!$64:$65,Хор!$71:$71,Хор!$75:$76,Хор!$80:$84,Хор!$87:$94,Хор!$141:$141</definedName>
    <definedName name="Z_1718F1EE_9F48_4DBE_9531_3B70F9C4A5DD_.wvu.Rows" localSheetId="14" hidden="1">Чум!$19:$24,Чум!$31:$39,Чум!$46:$49,Чум!$57:$57,Чум!$59:$61,Чум!$67:$68,Чум!$78:$79,Чум!$83:$87,Чум!$90:$97,Чум!$142:$142</definedName>
    <definedName name="Z_1718F1EE_9F48_4DBE_9531_3B70F9C4A5DD_.wvu.Rows" localSheetId="15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6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7" hidden="1">Юсь!$19:$24,Юсь!$31:$33,Юсь!$38:$38,Юсь!$45:$51,Юсь!$59:$59,Юсь!$61:$63,Юсь!$69:$70,Юсь!$80:$81,Юсь!$85:$89,Юсь!$92:$99,Юсь!$143:$143</definedName>
    <definedName name="Z_1718F1EE_9F48_4DBE_9531_3B70F9C4A5DD_.wvu.Rows" localSheetId="18" hidden="1">Яра!$19:$24,Яра!$30:$39,Яра!$46:$50,Яра!$58:$58,Яра!$60:$62,Яра!$68:$69,Яра!$79:$80,Яра!$84:$88,Яра!$91:$98,Яра!$143:$143</definedName>
    <definedName name="Z_1718F1EE_9F48_4DBE_9531_3B70F9C4A5DD_.wvu.Rows" localSheetId="19" hidden="1">Ярос!$19:$24,Ярос!$28:$33,Ярос!$44:$45,Ярос!$47:$48,Ярос!$55:$55,Ярос!$57:$58,Ярос!$65:$66,Ярос!$76:$77,Ярос!$81:$85,Ярос!$88:$95</definedName>
    <definedName name="Z_1A52382B_3765_4E8C_903F_6B8919B7242E_.wvu.Cols" localSheetId="1" hidden="1">Справка!$BB:$BD,Справка!$BH:$BJ,Справка!$BN:$BS,Справка!$BZ:$CE,Справка!$DD:$DL</definedName>
    <definedName name="Z_1A52382B_3765_4E8C_903F_6B8919B7242E_.wvu.PrintArea" localSheetId="6" hidden="1">Иль!$A$1:$F$103</definedName>
    <definedName name="Z_1A52382B_3765_4E8C_903F_6B8919B7242E_.wvu.PrintArea" localSheetId="0" hidden="1">Консол!$A$1:$H$52</definedName>
    <definedName name="Z_1A52382B_3765_4E8C_903F_6B8919B7242E_.wvu.PrintArea" localSheetId="8" hidden="1">Мор!$A$1:$F$101</definedName>
    <definedName name="Z_1A52382B_3765_4E8C_903F_6B8919B7242E_.wvu.PrintArea" localSheetId="1" hidden="1">Справка!$A$1:$FE$31</definedName>
    <definedName name="Z_1A52382B_3765_4E8C_903F_6B8919B7242E_.wvu.PrintArea" localSheetId="12" hidden="1">Тор!$A$1:$F$101</definedName>
    <definedName name="Z_1A52382B_3765_4E8C_903F_6B8919B7242E_.wvu.PrintArea" localSheetId="13" hidden="1">Хор!$A$1:$F$98</definedName>
    <definedName name="Z_1A52382B_3765_4E8C_903F_6B8919B7242E_.wvu.PrintArea" localSheetId="14" hidden="1">Чум!$A$1:$F$101</definedName>
    <definedName name="Z_1A52382B_3765_4E8C_903F_6B8919B7242E_.wvu.PrintArea" localSheetId="15" hidden="1">Шать!$A$1:$F$101</definedName>
    <definedName name="Z_1A52382B_3765_4E8C_903F_6B8919B7242E_.wvu.PrintArea" localSheetId="16" hidden="1">Юнг!$A$1:$F$100</definedName>
    <definedName name="Z_1A52382B_3765_4E8C_903F_6B8919B7242E_.wvu.PrintArea" localSheetId="18" hidden="1">Яра!$A$1:$F$102</definedName>
    <definedName name="Z_1A52382B_3765_4E8C_903F_6B8919B7242E_.wvu.Rows" localSheetId="4" hidden="1">Але!$19:$24,Але!$44:$44,Але!$46:$46,Але!$53:$53,Але!$55:$56,Але!$63:$64,Але!$74:$75,Але!$79:$83,Але!$87:$89</definedName>
    <definedName name="Z_1A52382B_3765_4E8C_903F_6B8919B7242E_.wvu.Rows" localSheetId="6" hidden="1">Иль!$19:$24,Иль!$30:$31,Иль!$34:$34,Иль!$46:$46,Иль!#REF!,Иль!$59:$60,Иль!$67:$68,Иль!$77:$78,Иль!$80:$80,Иль!$92:$96</definedName>
    <definedName name="Z_1A52382B_3765_4E8C_903F_6B8919B7242E_.wvu.Rows" localSheetId="7" hidden="1">Кад!$19:$24,Кад!$44:$44,Кад!$56:$56,Кад!$58:$59,Кад!$66:$67,Кад!$83:$85,Кад!$89:$96</definedName>
    <definedName name="Z_1A52382B_3765_4E8C_903F_6B8919B7242E_.wvu.Rows" localSheetId="0" hidden="1">Консол!$22:$22,Консол!$45:$47,Консол!$84:$86</definedName>
    <definedName name="Z_1A52382B_3765_4E8C_903F_6B8919B7242E_.wvu.Rows" localSheetId="20" hidden="1">Лист1!$82:$84</definedName>
    <definedName name="Z_1A52382B_3765_4E8C_903F_6B8919B7242E_.wvu.Rows" localSheetId="8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9" hidden="1">Мос!$19:$24,Мос!$44:$44,Мос!$58:$58,Мос!$60:$61,Мос!$68:$69,Мос!$82:$82,Мос!$86:$90,Мос!$95:$100</definedName>
    <definedName name="Z_1A52382B_3765_4E8C_903F_6B8919B7242E_.wvu.Rows" localSheetId="10" hidden="1">Ори!$19:$24,Ори!$33:$33,Ори!$45:$45,Ори!$49:$51,Ори!$58:$58,Ори!$60:$61,Ори!$68:$69,Ори!$79:$80,Ори!$82:$82,Ори!$85:$89,Ори!$92:$99</definedName>
    <definedName name="Z_1A52382B_3765_4E8C_903F_6B8919B7242E_.wvu.Rows" localSheetId="2" hidden="1">район!$19:$19,район!$23:$23,район!$33:$35,район!$57:$58,район!#REF!,район!#REF!,район!#REF!,район!#REF!,район!#REF!,район!#REF!</definedName>
    <definedName name="Z_1A52382B_3765_4E8C_903F_6B8919B7242E_.wvu.Rows" localSheetId="1" hidden="1">Справка!#REF!</definedName>
    <definedName name="Z_1A52382B_3765_4E8C_903F_6B8919B7242E_.wvu.Rows" localSheetId="5" hidden="1">Сун!$19:$24,Сун!$50:$52,Сун!$59:$59,Сун!$61:$62,Сун!$69:$70,Сун!$80:$81,Сун!$83:$83,Сун!$89:$90,Сун!$94:$98</definedName>
    <definedName name="Z_1A52382B_3765_4E8C_903F_6B8919B7242E_.wvu.Rows" localSheetId="11" hidden="1">Сят!$19:$19,Сят!$45:$47,Сят!$57:$57,Сят!$59:$60,Сят!$67:$68,Сят!$83:$86,Сят!$90:$97</definedName>
    <definedName name="Z_1A52382B_3765_4E8C_903F_6B8919B7242E_.wvu.Rows" localSheetId="12" hidden="1">Тор!$19:$24,Тор!$32:$39,Тор!$46:$47,Тор!$49:$50,Тор!$57:$57,Тор!$59:$60,Тор!$67:$68,Тор!$75:$75,Тор!$79:$80,Тор!$84:$95</definedName>
    <definedName name="Z_1A52382B_3765_4E8C_903F_6B8919B7242E_.wvu.Rows" localSheetId="13" hidden="1">Хор!$19:$22,Хор!$26:$35,Хор!$39:$39,Хор!$45:$47,Хор!$54:$54,Хор!$56:$58,Хор!$64:$65,Хор!$71:$71,Хор!$75:$76,Хор!$80:$84,Хор!$87:$94</definedName>
    <definedName name="Z_1A52382B_3765_4E8C_903F_6B8919B7242E_.wvu.Rows" localSheetId="14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5" hidden="1">Шать!$19:$24,Шать!$31:$39,Шать!$46:$49,Шать!$57:$57,Шать!$59:$60,Шать!$67:$68,Шать!$78:$79,Шать!$83:$87,Шать!$90:$97</definedName>
    <definedName name="Z_1A52382B_3765_4E8C_903F_6B8919B7242E_.wvu.Rows" localSheetId="16" hidden="1">Юнг!$19:$24,Юнг!$31:$38,Юнг!$45:$49,Юнг!$56:$56,Юнг!$58:$59,Юнг!$66:$67,Юнг!$77:$77,Юнг!$82:$86,Юнг!$89:$96</definedName>
    <definedName name="Z_1A52382B_3765_4E8C_903F_6B8919B7242E_.wvu.Rows" localSheetId="17" hidden="1">Юсь!$20:$24,Юсь!$38:$38,Юсь!#REF!,Юсь!$45:$50,Юсь!$59:$59,Юсь!$61:$62,Юсь!$69:$70,Юсь!$80:$81,Юсь!$85:$89,Юсь!$92:$99</definedName>
    <definedName name="Z_1A52382B_3765_4E8C_903F_6B8919B7242E_.wvu.Rows" localSheetId="18" hidden="1">Яра!$19:$24,Яра!$46:$46,Яра!$48:$51,Яра!$58:$58,Яра!$60:$61,Яра!$68:$69,Яра!$79:$80,Яра!$84:$88,Яра!$91:$98</definedName>
    <definedName name="Z_1A52382B_3765_4E8C_903F_6B8919B7242E_.wvu.Rows" localSheetId="19" hidden="1">Ярос!$19:$24,Ярос!$44:$44,Ярос!$55:$55,Ярос!$57:$59,Ярос!$65:$66,Ярос!$76:$77,Ярос!$81:$85,Ярос!$88:$95</definedName>
    <definedName name="Z_3DCB9AAA_F09C_4EA6_B992_F93E466D374A_.wvu.Cols" localSheetId="1" hidden="1">Справка!$BB:$BD,Справка!$BH:$BJ,Справка!$BN:$BS,Справка!$BZ:$CE,Справка!$DD:$DL</definedName>
    <definedName name="Z_3DCB9AAA_F09C_4EA6_B992_F93E466D374A_.wvu.PrintArea" localSheetId="6" hidden="1">Иль!$A$1:$F$103</definedName>
    <definedName name="Z_3DCB9AAA_F09C_4EA6_B992_F93E466D374A_.wvu.PrintArea" localSheetId="0" hidden="1">Консол!$A$1:$H$52</definedName>
    <definedName name="Z_3DCB9AAA_F09C_4EA6_B992_F93E466D374A_.wvu.PrintArea" localSheetId="8" hidden="1">Мор!$A$1:$F$101</definedName>
    <definedName name="Z_3DCB9AAA_F09C_4EA6_B992_F93E466D374A_.wvu.PrintArea" localSheetId="2" hidden="1">район!$A$1:$G$203</definedName>
    <definedName name="Z_3DCB9AAA_F09C_4EA6_B992_F93E466D374A_.wvu.PrintArea" localSheetId="1" hidden="1">Справка!$A$1:$FE$31</definedName>
    <definedName name="Z_3DCB9AAA_F09C_4EA6_B992_F93E466D374A_.wvu.PrintArea" localSheetId="12" hidden="1">Тор!$A$1:$F$101</definedName>
    <definedName name="Z_3DCB9AAA_F09C_4EA6_B992_F93E466D374A_.wvu.PrintArea" localSheetId="16" hidden="1">Юнг!$A$1:$F$100</definedName>
    <definedName name="Z_3DCB9AAA_F09C_4EA6_B992_F93E466D374A_.wvu.PrintArea" localSheetId="18" hidden="1">Яра!$A$1:$F$102</definedName>
    <definedName name="Z_3DCB9AAA_F09C_4EA6_B992_F93E466D374A_.wvu.Rows" localSheetId="4" hidden="1">Але!$19:$24,Але!$44:$44,Але!$46:$46,Але!$53:$53,Але!$55:$56,Але!$63:$64,Але!$74:$75,Але!$79:$93</definedName>
    <definedName name="Z_3DCB9AAA_F09C_4EA6_B992_F93E466D374A_.wvu.Rows" localSheetId="7" hidden="1">Кад!$19:$24,Кад!$44:$44,Кад!$56:$56,Кад!$58:$59,Кад!$66:$67,Кад!$83:$85,Кад!$89:$96</definedName>
    <definedName name="Z_3DCB9AAA_F09C_4EA6_B992_F93E466D374A_.wvu.Rows" localSheetId="0" hidden="1">Консол!$22:$22,Консол!$45:$47,Консол!$84:$86</definedName>
    <definedName name="Z_3DCB9AAA_F09C_4EA6_B992_F93E466D374A_.wvu.Rows" localSheetId="20" hidden="1">Лист1!$82:$84</definedName>
    <definedName name="Z_3DCB9AAA_F09C_4EA6_B992_F93E466D374A_.wvu.Rows" localSheetId="8" hidden="1">Мор!$21:$21,Мор!$23:$23,Мор!$37:$37,Мор!$44:$44,Мор!$47:$47,Мор!$49:$50,Мор!$57:$57,Мор!$59:$60,Мор!$67:$68,Мор!$83:$88,Мор!$91:$97</definedName>
    <definedName name="Z_3DCB9AAA_F09C_4EA6_B992_F93E466D374A_.wvu.Rows" localSheetId="9" hidden="1">Мос!$19:$24,Мос!$44:$44,Мос!$58:$58,Мос!$60:$61,Мос!$68:$69,Мос!$82:$82,Мос!$84:$90,Мос!$95:$100</definedName>
    <definedName name="Z_3DCB9AAA_F09C_4EA6_B992_F93E466D374A_.wvu.Rows" localSheetId="10" hidden="1">Ори!$19:$24,Ори!$33:$33,Ори!$45:$45,Ори!$49:$51,Ори!$58:$58,Ори!$60:$61,Ори!$68:$69,Ори!$79:$80,Ори!$82:$82,Ори!$84:$88,Ори!$92:$99</definedName>
    <definedName name="Z_3DCB9AAA_F09C_4EA6_B992_F93E466D374A_.wvu.Rows" localSheetId="2" hidden="1">район!#REF!</definedName>
    <definedName name="Z_3DCB9AAA_F09C_4EA6_B992_F93E466D374A_.wvu.Rows" localSheetId="5" hidden="1">Сун!$19:$24,Сун!$50:$52,Сун!$59:$59,Сун!$61:$62,Сун!$69:$70,Сун!$80:$81,Сун!$83:$86,Сун!$89:$90,Сун!$94:$98</definedName>
    <definedName name="Z_3DCB9AAA_F09C_4EA6_B992_F93E466D374A_.wvu.Rows" localSheetId="11" hidden="1">Сят!$19:$19,Сят!$45:$47,Сят!$57:$57,Сят!$59:$60,Сят!$67:$68,Сят!$83:$86,Сят!$90:$97</definedName>
    <definedName name="Z_3DCB9AAA_F09C_4EA6_B992_F93E466D374A_.wvu.Rows" localSheetId="12" hidden="1">Тор!$19:$19,Тор!$50:$50,Тор!$57:$57,Тор!$59:$60,Тор!$67:$68,Тор!$75:$75,Тор!$79:$80,Тор!$83:$93</definedName>
    <definedName name="Z_3DCB9AAA_F09C_4EA6_B992_F93E466D374A_.wvu.Rows" localSheetId="13" hidden="1">Хор!$19:$22,Хор!$30:$30,Хор!$39:$39,Хор!$43:$43,Хор!$54:$54,Хор!$56:$57,Хор!$64:$65,Хор!$80:$84,Хор!$87:$94</definedName>
    <definedName name="Z_3DCB9AAA_F09C_4EA6_B992_F93E466D374A_.wvu.Rows" localSheetId="14" hidden="1">Чум!$19:$19,Чум!$21:$21,Чум!$23:$24,Чум!$47:$49,Чум!$57:$57,Чум!$59:$60,Чум!$67:$68,Чум!$83:$87,Чум!$90:$97</definedName>
    <definedName name="Z_3DCB9AAA_F09C_4EA6_B992_F93E466D374A_.wvu.Rows" localSheetId="15" hidden="1">Шать!$19:$24,Шать!$47:$49,Шать!$57:$57,Шать!$59:$60,Шать!$67:$68,Шать!$78:$79,Шать!$83:$87,Шать!$90:$97</definedName>
    <definedName name="Z_3DCB9AAA_F09C_4EA6_B992_F93E466D374A_.wvu.Rows" localSheetId="16" hidden="1">Юнг!$19:$24,Юнг!$32:$32,Юнг!$46:$46,Юнг!$49:$49,Юнг!$56:$56,Юнг!$58:$59,Юнг!$66:$67,Юнг!$82:$86,Юнг!$89:$96</definedName>
    <definedName name="Z_3DCB9AAA_F09C_4EA6_B992_F93E466D374A_.wvu.Rows" localSheetId="18" hidden="1">Яра!$19:$24,Яра!$46:$50,Яра!$58:$58,Яра!$60:$61,Яра!$68:$69,Яра!$79:$79,Яра!$82:$88,Яра!$91:$98</definedName>
    <definedName name="Z_3DCB9AAA_F09C_4EA6_B992_F93E466D374A_.wvu.Rows" localSheetId="19" hidden="1">Ярос!$19:$24,Ярос!$29:$30,Ярос!$32:$32,Ярос!$44:$44,Ярос!$55:$55,Ярос!$57:$58,Ярос!$65:$66,Ярос!$76:$77,Ярос!$81:$86,Ярос!$88:$95</definedName>
    <definedName name="Z_42584DC0_1D41_4C93_9B38_C388E7B8DAC4_.wvu.Cols" localSheetId="1" hidden="1">Справка!$BB:$BD,Справка!$BH:$BJ,Справка!$BN:$BV,Справка!$BZ:$CE,Справка!$DD:$DL</definedName>
    <definedName name="Z_42584DC0_1D41_4C93_9B38_C388E7B8DAC4_.wvu.PrintArea" localSheetId="6" hidden="1">Иль!$A$1:$F$103</definedName>
    <definedName name="Z_42584DC0_1D41_4C93_9B38_C388E7B8DAC4_.wvu.PrintArea" localSheetId="0" hidden="1">Консол!$A$1:$H$52</definedName>
    <definedName name="Z_42584DC0_1D41_4C93_9B38_C388E7B8DAC4_.wvu.PrintArea" localSheetId="8" hidden="1">Мор!$A$1:$F$101</definedName>
    <definedName name="Z_42584DC0_1D41_4C93_9B38_C388E7B8DAC4_.wvu.PrintArea" localSheetId="1" hidden="1">Справка!$A$1:$FE$31</definedName>
    <definedName name="Z_42584DC0_1D41_4C93_9B38_C388E7B8DAC4_.wvu.PrintArea" localSheetId="12" hidden="1">Тор!$A$1:$F$101</definedName>
    <definedName name="Z_42584DC0_1D41_4C93_9B38_C388E7B8DAC4_.wvu.PrintArea" localSheetId="16" hidden="1">Юнг!$A$1:$F$100</definedName>
    <definedName name="Z_42584DC0_1D41_4C93_9B38_C388E7B8DAC4_.wvu.PrintArea" localSheetId="18" hidden="1">Яра!$A$1:$F$102</definedName>
    <definedName name="Z_42584DC0_1D41_4C93_9B38_C388E7B8DAC4_.wvu.Rows" localSheetId="4" hidden="1">Але!$19:$24,Але!$31:$33,Але!$36:$36,Але!$44:$44,Але!$46:$46,Але!$53:$53,Але!$55:$57,Але!$63:$64,Але!$74:$75,Але!$79:$83,Але!$86:$93</definedName>
    <definedName name="Z_42584DC0_1D41_4C93_9B38_C388E7B8DAC4_.wvu.Rows" localSheetId="6" hidden="1">Иль!$19:$24,Иль!$30:$40,Иль!$46:$46,Иль!$48:$50,Иль!$57:$57,Иль!$59:$61,Иль!$67:$68,Иль!$77:$78,Иль!$80:$80,Иль!$85:$89,Иль!$92:$99</definedName>
    <definedName name="Z_42584DC0_1D41_4C93_9B38_C388E7B8DAC4_.wvu.Rows" localSheetId="7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Консол!$22:$22,Консол!$45:$47</definedName>
    <definedName name="Z_42584DC0_1D41_4C93_9B38_C388E7B8DAC4_.wvu.Rows" localSheetId="8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9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10" hidden="1">Ори!$19:$24,Ори!$32:$36,Ори!$39:$39,Ори!$45:$45,Ори!$47:$47,Ори!$49:$51,Ори!$58:$58,Ори!$60:$62,Ори!$68:$69,Ори!$79:$80,Ори!$82:$82,Ори!$85:$89,Ори!$92:$99</definedName>
    <definedName name="Z_42584DC0_1D41_4C93_9B38_C388E7B8DAC4_.wvu.Rows" localSheetId="2" hidden="1">район!$19:$19,район!$23:$23,район!$30:$30,район!$32:$36,район!$40:$40,район!$44:$44,район!$52:$52,район!$57:$58,район!#REF!,район!#REF!,район!$65:$67,район!#REF!,район!#REF!,район!$87:$87,район!#REF!,район!$96:$96,район!#REF!,район!$133:$133,район!#REF!,район!$198:$199</definedName>
    <definedName name="Z_42584DC0_1D41_4C93_9B38_C388E7B8DAC4_.wvu.Rows" localSheetId="1" hidden="1">Справка!#REF!</definedName>
    <definedName name="Z_42584DC0_1D41_4C93_9B38_C388E7B8DAC4_.wvu.Rows" localSheetId="5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1" hidden="1">Сят!$19:$24,Сят!$31:$35,Сят!$45:$48,Сят!$57:$57,Сят!$59:$60,Сят!$67:$68,Сят!$78:$79,Сят!$83:$87,Сят!$90:$97</definedName>
    <definedName name="Z_42584DC0_1D41_4C93_9B38_C388E7B8DAC4_.wvu.Rows" localSheetId="12" hidden="1">Тор!$19:$24,Тор!$32:$36,Тор!$46:$47,Тор!$50:$50,Тор!$57:$57,Тор!$59:$60,Тор!$67:$68,Тор!$75:$75,Тор!$79:$80,Тор!$84:$95</definedName>
    <definedName name="Z_42584DC0_1D41_4C93_9B38_C388E7B8DAC4_.wvu.Rows" localSheetId="13" hidden="1">Хор!$19:$22,Хор!$26:$35,Хор!$39:$39,Хор!$43:$43,Хор!$45:$47,Хор!$54:$54,Хор!$56:$58,Хор!$64:$65,Хор!$71:$71,Хор!$75:$76,Хор!$80:$84,Хор!$87:$94</definedName>
    <definedName name="Z_42584DC0_1D41_4C93_9B38_C388E7B8DAC4_.wvu.Rows" localSheetId="14" hidden="1">Чум!$19:$24,Чум!$31:$36,Чум!$47:$49,Чум!$57:$57,Чум!$59:$61,Чум!$67:$68,Чум!$78:$79,Чум!$83:$87,Чум!$90:$97</definedName>
    <definedName name="Z_42584DC0_1D41_4C93_9B38_C388E7B8DAC4_.wvu.Rows" localSheetId="15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6" hidden="1">Юнг!$19:$24,Юнг!$31:$38,Юнг!$45:$46,Юнг!$49:$49,Юнг!$56:$56,Юнг!$58:$60,Юнг!$66:$68,Юнг!$77:$78,Юнг!$82:$86,Юнг!$89:$96</definedName>
    <definedName name="Z_42584DC0_1D41_4C93_9B38_C388E7B8DAC4_.wvu.Rows" localSheetId="17" hidden="1">Юсь!$19:$24,Юсь!$31:$33,Юсь!$38:$38,Юсь!#REF!,Юсь!$45:$50,Юсь!$59:$59,Юсь!$61:$63,Юсь!$69:$70,Юсь!$80:$81,Юсь!$85:$89,Юсь!$92:$99</definedName>
    <definedName name="Z_42584DC0_1D41_4C93_9B38_C388E7B8DAC4_.wvu.Rows" localSheetId="18" hidden="1">Яра!$19:$24,Яра!$32:$36,Яра!$46:$50,Яра!$58:$58,Яра!$60:$62,Яра!$68:$69,Яра!$79:$80,Яра!$84:$88,Яра!$91:$98</definedName>
    <definedName name="Z_42584DC0_1D41_4C93_9B38_C388E7B8DAC4_.wvu.Rows" localSheetId="19" hidden="1">Ярос!$19:$24,Ярос!$28:$37,Ярос!$44:$45,Ярос!$47:$48,Ярос!$55:$55,Ярос!$57:$59,Ярос!$65:$66,Ярос!$76:$77,Ярос!$81:$85,Ярос!$88:$95</definedName>
    <definedName name="Z_5BFCA170_DEAE_4D2C_98A0_1E68B427AC01_.wvu.Cols" localSheetId="1" hidden="1">Справка!$BB:$BD,Справка!$BH:$BJ,Справка!$BN:$BS,Справка!$BZ:$CE,Справка!$DD:$DL</definedName>
    <definedName name="Z_5BFCA170_DEAE_4D2C_98A0_1E68B427AC01_.wvu.PrintArea" localSheetId="6" hidden="1">Иль!$A$1:$F$103</definedName>
    <definedName name="Z_5BFCA170_DEAE_4D2C_98A0_1E68B427AC01_.wvu.PrintArea" localSheetId="0" hidden="1">Консол!$A$1:$H$52</definedName>
    <definedName name="Z_5BFCA170_DEAE_4D2C_98A0_1E68B427AC01_.wvu.PrintArea" localSheetId="8" hidden="1">Мор!$A$1:$F$101</definedName>
    <definedName name="Z_5BFCA170_DEAE_4D2C_98A0_1E68B427AC01_.wvu.PrintArea" localSheetId="1" hidden="1">Справка!$A$1:$FE$31</definedName>
    <definedName name="Z_5BFCA170_DEAE_4D2C_98A0_1E68B427AC01_.wvu.PrintArea" localSheetId="12" hidden="1">Тор!$A$1:$F$101</definedName>
    <definedName name="Z_5BFCA170_DEAE_4D2C_98A0_1E68B427AC01_.wvu.PrintArea" localSheetId="16" hidden="1">Юнг!$A$1:$F$100</definedName>
    <definedName name="Z_5BFCA170_DEAE_4D2C_98A0_1E68B427AC01_.wvu.PrintArea" localSheetId="18" hidden="1">Яра!$A$1:$F$102</definedName>
    <definedName name="Z_5BFCA170_DEAE_4D2C_98A0_1E68B427AC01_.wvu.Rows" localSheetId="4" hidden="1">Але!$19:$24,Але!$44:$44,Але!$46:$46,Але!$53:$53,Але!$55:$56,Але!$63:$64,Але!$74:$75,Але!$79:$83,Але!$87:$89</definedName>
    <definedName name="Z_5BFCA170_DEAE_4D2C_98A0_1E68B427AC01_.wvu.Rows" localSheetId="6" hidden="1">Иль!$19:$24,Иль!$30:$31,Иль!$34:$34,Иль!$46:$46,Иль!#REF!,Иль!$59:$60,Иль!$67:$68,Иль!$77:$78,Иль!$80:$80,Иль!$92:$96</definedName>
    <definedName name="Z_5BFCA170_DEAE_4D2C_98A0_1E68B427AC01_.wvu.Rows" localSheetId="7" hidden="1">Кад!$19:$24,Кад!$44:$44,Кад!$56:$56,Кад!$58:$59,Кад!$66:$67,Кад!$83:$85,Кад!$89:$96</definedName>
    <definedName name="Z_5BFCA170_DEAE_4D2C_98A0_1E68B427AC01_.wvu.Rows" localSheetId="0" hidden="1">Консол!$22:$22,Консол!$45:$47,Консол!$84:$86</definedName>
    <definedName name="Z_5BFCA170_DEAE_4D2C_98A0_1E68B427AC01_.wvu.Rows" localSheetId="20" hidden="1">Лист1!$82:$84</definedName>
    <definedName name="Z_5BFCA170_DEAE_4D2C_98A0_1E68B427AC01_.wvu.Rows" localSheetId="8" hidden="1">Мор!$21:$21,Мор!$23:$23,Мор!$37:$37,Мор!$44:$44,Мор!$47:$47,Мор!$49:$50,Мор!$57:$57,Мор!$59:$60,Мор!$67:$68,Мор!$83:$88,Мор!$91:$97</definedName>
    <definedName name="Z_5BFCA170_DEAE_4D2C_98A0_1E68B427AC01_.wvu.Rows" localSheetId="9" hidden="1">Мос!$19:$24,Мос!$44:$44,Мос!$58:$58,Мос!$60:$61,Мос!$68:$69,Мос!$82:$82,Мос!$84:$90,Мос!$95:$100</definedName>
    <definedName name="Z_5BFCA170_DEAE_4D2C_98A0_1E68B427AC01_.wvu.Rows" localSheetId="10" hidden="1">Ори!$19:$24,Ори!$33:$33,Ори!$45:$45,Ори!$49:$51,Ори!$58:$58,Ори!$60:$61,Ори!$68:$69,Ори!$79:$80,Ори!$82:$82,Ори!$84:$88,Ори!$92:$99</definedName>
    <definedName name="Z_5BFCA170_DEAE_4D2C_98A0_1E68B427AC01_.wvu.Rows" localSheetId="5" hidden="1">Сун!$19:$24,Сун!$50:$52,Сун!$59:$59,Сун!$61:$62,Сун!$69:$70,Сун!$80:$81,Сун!$83:$83,Сун!$89:$90,Сун!$94:$98</definedName>
    <definedName name="Z_5BFCA170_DEAE_4D2C_98A0_1E68B427AC01_.wvu.Rows" localSheetId="11" hidden="1">Сят!$19:$19,Сят!$45:$47,Сят!$57:$57,Сят!$59:$60,Сят!$67:$68,Сят!$83:$86,Сят!$90:$97</definedName>
    <definedName name="Z_5BFCA170_DEAE_4D2C_98A0_1E68B427AC01_.wvu.Rows" localSheetId="12" hidden="1">Тор!$19:$19,Тор!$50:$50,Тор!$57:$57,Тор!$59:$60,Тор!$67:$68,Тор!$75:$75,Тор!$79:$80,Тор!$83:$93</definedName>
    <definedName name="Z_5BFCA170_DEAE_4D2C_98A0_1E68B427AC01_.wvu.Rows" localSheetId="13" hidden="1">Хор!$19:$22,Хор!$30:$30,Хор!$39:$39,Хор!$43:$43,Хор!$54:$54,Хор!$56:$57,Хор!$64:$65,Хор!$80:$84,Хор!$87:$94</definedName>
    <definedName name="Z_5BFCA170_DEAE_4D2C_98A0_1E68B427AC01_.wvu.Rows" localSheetId="14" hidden="1">Чум!$19:$19,Чум!$21:$21,Чум!$23:$24,Чум!$47:$49,Чум!$57:$57,Чум!$59:$60,Чум!$67:$68,Чум!$83:$87,Чум!$90:$97</definedName>
    <definedName name="Z_5BFCA170_DEAE_4D2C_98A0_1E68B427AC01_.wvu.Rows" localSheetId="15" hidden="1">Шать!$19:$24,Шать!$47:$49,Шать!$57:$57,Шать!$59:$60,Шать!$67:$68,Шать!$78:$79,Шать!$83:$87,Шать!$90:$97</definedName>
    <definedName name="Z_5BFCA170_DEAE_4D2C_98A0_1E68B427AC01_.wvu.Rows" localSheetId="16" hidden="1">Юнг!$19:$24,Юнг!$32:$32,Юнг!$49:$49,Юнг!$56:$56,Юнг!$58:$59,Юнг!$66:$67,Юнг!$82:$86,Юнг!$89:$96</definedName>
    <definedName name="Z_5BFCA170_DEAE_4D2C_98A0_1E68B427AC01_.wvu.Rows" localSheetId="18" hidden="1">Яра!$19:$24,Яра!$46:$50,Яра!$58:$58,Яра!$60:$61,Яра!$68:$69,Яра!$79:$79,Яра!$82:$88,Яра!$91:$98</definedName>
    <definedName name="Z_5BFCA170_DEAE_4D2C_98A0_1E68B427AC01_.wvu.Rows" localSheetId="19" hidden="1">Ярос!$19:$24,Ярос!$44:$44,Ярос!$55:$55,Ярос!$57:$58,Ярос!$65:$66,Ярос!$76:$77,Ярос!$81:$86,Ярос!$88:$95</definedName>
    <definedName name="Z_5C539BE6_C8E0_453F_AB5E_9E58094195EA_.wvu.Cols" localSheetId="1" hidden="1">Справка!$BB:$BD,Справка!$BH:$BJ,Справка!$BN:$BP,Справка!$BR:$BS,Справка!$BZ:$CE,Справка!$DD:$DL</definedName>
    <definedName name="Z_5C539BE6_C8E0_453F_AB5E_9E58094195EA_.wvu.PrintArea" localSheetId="4" hidden="1">Але!$A$1:$F$97</definedName>
    <definedName name="Z_5C539BE6_C8E0_453F_AB5E_9E58094195EA_.wvu.PrintArea" localSheetId="6" hidden="1">Иль!$A$1:$F$103</definedName>
    <definedName name="Z_5C539BE6_C8E0_453F_AB5E_9E58094195EA_.wvu.PrintArea" localSheetId="0" hidden="1">Консол!$A$1:$H$52</definedName>
    <definedName name="Z_5C539BE6_C8E0_453F_AB5E_9E58094195EA_.wvu.PrintArea" localSheetId="8" hidden="1">Мор!$A$1:$F$101</definedName>
    <definedName name="Z_5C539BE6_C8E0_453F_AB5E_9E58094195EA_.wvu.PrintArea" localSheetId="2" hidden="1">район!$A$1:$G$203</definedName>
    <definedName name="Z_5C539BE6_C8E0_453F_AB5E_9E58094195EA_.wvu.PrintArea" localSheetId="1" hidden="1">Справка!$A$1:$FE$31</definedName>
    <definedName name="Z_5C539BE6_C8E0_453F_AB5E_9E58094195EA_.wvu.PrintArea" localSheetId="5" hidden="1">Сун!$A$1:$F$105</definedName>
    <definedName name="Z_5C539BE6_C8E0_453F_AB5E_9E58094195EA_.wvu.PrintArea" localSheetId="12" hidden="1">Тор!$A$1:$F$101</definedName>
    <definedName name="Z_5C539BE6_C8E0_453F_AB5E_9E58094195EA_.wvu.PrintArea" localSheetId="16" hidden="1">Юнг!$A$1:$F$100</definedName>
    <definedName name="Z_5C539BE6_C8E0_453F_AB5E_9E58094195EA_.wvu.PrintArea" localSheetId="18" hidden="1">Яра!$A$1:$F$102</definedName>
    <definedName name="Z_5C539BE6_C8E0_453F_AB5E_9E58094195EA_.wvu.Rows" localSheetId="4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6" hidden="1">Иль!$19:$23,Иль!$35:$35,Иль!#REF!,Иль!$44:$44,Иль!$46:$46,Иль!$50:$50,Иль!$57:$57,Иль!$59:$61,Иль!$67:$68,Иль!$77:$78,Иль!$80:$80,Иль!$85:$89,Иль!$92:$99,Иль!$142:$142</definedName>
    <definedName name="Z_5C539BE6_C8E0_453F_AB5E_9E58094195EA_.wvu.Rows" localSheetId="7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Консол!$45:$47</definedName>
    <definedName name="Z_5C539BE6_C8E0_453F_AB5E_9E58094195EA_.wvu.Rows" localSheetId="20" hidden="1">Лист1!$82:$84</definedName>
    <definedName name="Z_5C539BE6_C8E0_453F_AB5E_9E58094195EA_.wvu.Rows" localSheetId="8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9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10" hidden="1">Ори!$19:$24,Ори!$32:$34,Ори!$45:$45,Ори!$49:$51,Ори!$58:$58,Ори!$60:$61,Ори!$68:$69,Ори!$79:$79,Ори!$82:$82,Ори!$85:$89,Ори!$92:$99,Ори!$143:$143</definedName>
    <definedName name="Z_5C539BE6_C8E0_453F_AB5E_9E58094195EA_.wvu.Rows" localSheetId="2" hidden="1">район!#REF!,район!$30:$31,район!$40:$40,район!$44:$44,район!$57:$58,район!#REF!,район!#REF!</definedName>
    <definedName name="Z_5C539BE6_C8E0_453F_AB5E_9E58094195EA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1" hidden="1">Сят!$19:$24,Сят!$38:$38,Сят!$45:$47,Сят!$57:$57,Сят!$59:$60,Сят!$67:$68,Сят!$78:$78,Сят!$83:$87,Сят!$90:$97,Сят!$143:$143</definedName>
    <definedName name="Z_5C539BE6_C8E0_453F_AB5E_9E58094195EA_.wvu.Rows" localSheetId="12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3" hidden="1">Хор!$19:$22,Хор!$26:$30,Хор!$39:$39,Хор!$45:$47,Хор!$54:$54,Хор!$56:$57,Хор!$64:$65,Хор!$75:$75,Хор!$80:$84,Хор!$87:$94,Хор!$141:$141</definedName>
    <definedName name="Z_5C539BE6_C8E0_453F_AB5E_9E58094195EA_.wvu.Rows" localSheetId="14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5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6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7" hidden="1">Юсь!$19:$24,Юсь!$38:$38,Юсь!$45:$50,Юсь!$59:$59,Юсь!$61:$62,Юсь!$69:$70,Юсь!$85:$89,Юсь!$92:$99,Юсь!$143:$143</definedName>
    <definedName name="Z_5C539BE6_C8E0_453F_AB5E_9E58094195EA_.wvu.Rows" localSheetId="18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9" hidden="1">Ярос!$19:$24,Ярос!$28:$28,Ярос!$41:$41,Ярос!$44:$44,Ярос!$47:$48,Ярос!$55:$55,Ярос!$57:$58,Ярос!$65:$66,Ярос!$76:$76,Ярос!$83:$85,Ярос!$88:$91,Ярос!$93:$95</definedName>
    <definedName name="Z_61528DAC_5C4C_48F4_ADE2_8A724B05A086_.wvu.Cols" localSheetId="1" hidden="1">Справка!$BB:$BD,Справка!$BH:$BJ,Справка!$BN:$BP,Справка!$BR:$BS,Справка!$BZ:$CE,Справка!$DD:$DL</definedName>
    <definedName name="Z_61528DAC_5C4C_48F4_ADE2_8A724B05A086_.wvu.PrintArea" localSheetId="4" hidden="1">Але!$A$1:$F$97</definedName>
    <definedName name="Z_61528DAC_5C4C_48F4_ADE2_8A724B05A086_.wvu.PrintArea" localSheetId="6" hidden="1">Иль!$A$1:$F$103</definedName>
    <definedName name="Z_61528DAC_5C4C_48F4_ADE2_8A724B05A086_.wvu.PrintArea" localSheetId="0" hidden="1">Консол!$A$1:$H$52</definedName>
    <definedName name="Z_61528DAC_5C4C_48F4_ADE2_8A724B05A086_.wvu.PrintArea" localSheetId="8" hidden="1">Мор!$A$1:$F$101</definedName>
    <definedName name="Z_61528DAC_5C4C_48F4_ADE2_8A724B05A086_.wvu.PrintArea" localSheetId="2" hidden="1">район!$A$1:$G$203</definedName>
    <definedName name="Z_61528DAC_5C4C_48F4_ADE2_8A724B05A086_.wvu.PrintArea" localSheetId="1" hidden="1">Справка!$A$1:$FE$31</definedName>
    <definedName name="Z_61528DAC_5C4C_48F4_ADE2_8A724B05A086_.wvu.PrintArea" localSheetId="5" hidden="1">Сун!$A$1:$F$105</definedName>
    <definedName name="Z_61528DAC_5C4C_48F4_ADE2_8A724B05A086_.wvu.PrintArea" localSheetId="12" hidden="1">Тор!$A$1:$F$101</definedName>
    <definedName name="Z_61528DAC_5C4C_48F4_ADE2_8A724B05A086_.wvu.PrintArea" localSheetId="16" hidden="1">Юнг!$A$1:$F$100</definedName>
    <definedName name="Z_61528DAC_5C4C_48F4_ADE2_8A724B05A086_.wvu.PrintArea" localSheetId="18" hidden="1">Яра!$A$1:$F$102</definedName>
    <definedName name="Z_61528DAC_5C4C_48F4_ADE2_8A724B05A086_.wvu.Rows" localSheetId="4" hidden="1">Але!$19:$24,Але!$28:$28,Але!$40:$40,Але!$55:$56,Але!$63:$64,Але!$69:$70,Але!$74:$74,Але!$79:$82,Але!$86:$93,Але!$142:$142</definedName>
    <definedName name="Z_61528DAC_5C4C_48F4_ADE2_8A724B05A086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61528DAC_5C4C_48F4_ADE2_8A724B05A086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Консол!$45:$47</definedName>
    <definedName name="Z_61528DAC_5C4C_48F4_ADE2_8A724B05A086_.wvu.Rows" localSheetId="20" hidden="1">Лист1!$82:$84</definedName>
    <definedName name="Z_61528DAC_5C4C_48F4_ADE2_8A724B05A086_.wvu.Rows" localSheetId="8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61528DAC_5C4C_48F4_ADE2_8A724B05A086_.wvu.Rows" localSheetId="10" hidden="1">Ори!$19:$24,Ори!$43:$43,Ори!$45:$45,Ори!$49:$51,Ори!$58:$58,Ори!$60:$61,Ори!$68:$69,Ори!$75:$75,Ори!$79:$79,Ори!$82:$82,Ори!$85:$89,Ори!$92:$99,Ори!$143:$143</definedName>
    <definedName name="Z_61528DAC_5C4C_48F4_ADE2_8A724B05A086_.wvu.Rows" localSheetId="2" hidden="1">район!$199:$199</definedName>
    <definedName name="Z_61528DAC_5C4C_48F4_ADE2_8A724B05A086_.wvu.Rows" localSheetId="5" hidden="1">Сун!$19:$24,Сун!$44:$44,Сун!$46:$46,Сун!$50:$52,Сун!$59:$59,Сун!$61:$62,Сун!$69:$70,Сун!$80:$80,Сун!$83:$83,Сун!$86:$86,Сун!$88:$90,Сун!$94:$101,Сун!$143:$143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1" hidden="1">Сят!$19:$24,Сят!$38:$38,Сят!$45:$47,Сят!$57:$57,Сят!$59:$60,Сят!$67:$68,Сят!$78:$78,Сят!$83:$87,Сят!$90:$97,Сят!$143:$143</definedName>
    <definedName name="Z_61528DAC_5C4C_48F4_ADE2_8A724B05A086_.wvu.Rows" localSheetId="12" hidden="1">Тор!$19:$24,Тор!$39:$39,Тор!$43:$43,Тор!$47:$47,Тор!$49:$49,Тор!$57:$57,Тор!$59:$60,Тор!$67:$68,Тор!$73:$73,Тор!$75:$75,Тор!$79:$79,Тор!$87:$95,Тор!$142:$142</definedName>
    <definedName name="Z_61528DAC_5C4C_48F4_ADE2_8A724B05A086_.wvu.Rows" localSheetId="13" hidden="1">Хор!$20:$22,Хор!$26:$26,Хор!$39:$39,Хор!$45:$47,Хор!$54:$54,Хор!$56:$57,Хор!$64:$65,Хор!$70:$71,Хор!$75:$75,Хор!$80:$84,Хор!$87:$94,Хор!$141:$141</definedName>
    <definedName name="Z_61528DAC_5C4C_48F4_ADE2_8A724B05A086_.wvu.Rows" localSheetId="14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5" hidden="1">Шать!$19:$25,Шать!$35:$36,Шать!$47:$49,Шать!$57:$57,Шать!$59:$60,Шать!$67:$68,Шать!$74:$74,Шать!$78:$78,Шать!$84:$86,Шать!$90:$97,Шать!$142:$142</definedName>
    <definedName name="Z_61528DAC_5C4C_48F4_ADE2_8A724B05A086_.wvu.Rows" localSheetId="16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7" hidden="1">Юсь!$19:$24,Юсь!$45:$50,Юсь!$59:$59,Юсь!$61:$62,Юсь!$69:$70,Юсь!$85:$89,Юсь!$92:$99,Юсь!$143:$143</definedName>
    <definedName name="Z_61528DAC_5C4C_48F4_ADE2_8A724B05A086_.wvu.Rows" localSheetId="18" hidden="1">Яра!$19:$24,Яра!$28:$29,Яра!$48:$49,Яра!$58:$58,Яра!$60:$61,Яра!$68:$69,Яра!$75:$75,Яра!$79:$79,Яра!$84:$88,Яра!$91:$98,Яра!$143:$143</definedName>
    <definedName name="Z_61528DAC_5C4C_48F4_ADE2_8A724B05A086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A486C6EE_08B2_475E_8DA1_C3C3163412A9_.wvu.Cols" localSheetId="1" hidden="1">Справка!$BB:$BD,Справка!$BH:$BJ,Справка!$BN:$BP,Справка!$BR:$BS,Справка!$BZ:$CE,Справка!$DD:$DL</definedName>
    <definedName name="Z_A486C6EE_08B2_475E_8DA1_C3C3163412A9_.wvu.PrintArea" localSheetId="4" hidden="1">Але!$A$1:$F$97</definedName>
    <definedName name="Z_A486C6EE_08B2_475E_8DA1_C3C3163412A9_.wvu.PrintArea" localSheetId="6" hidden="1">Иль!$A$1:$F$103</definedName>
    <definedName name="Z_A486C6EE_08B2_475E_8DA1_C3C3163412A9_.wvu.PrintArea" localSheetId="0" hidden="1">Консол!$A$1:$H$52</definedName>
    <definedName name="Z_A486C6EE_08B2_475E_8DA1_C3C3163412A9_.wvu.PrintArea" localSheetId="8" hidden="1">Мор!$A$1:$F$101</definedName>
    <definedName name="Z_A486C6EE_08B2_475E_8DA1_C3C3163412A9_.wvu.PrintArea" localSheetId="2" hidden="1">район!$A$1:$G$203</definedName>
    <definedName name="Z_A486C6EE_08B2_475E_8DA1_C3C3163412A9_.wvu.PrintArea" localSheetId="1" hidden="1">Справка!$A$1:$FE$31</definedName>
    <definedName name="Z_A486C6EE_08B2_475E_8DA1_C3C3163412A9_.wvu.PrintArea" localSheetId="5" hidden="1">Сун!$A$1:$F$105</definedName>
    <definedName name="Z_A486C6EE_08B2_475E_8DA1_C3C3163412A9_.wvu.PrintArea" localSheetId="12" hidden="1">Тор!$A$1:$F$101</definedName>
    <definedName name="Z_A486C6EE_08B2_475E_8DA1_C3C3163412A9_.wvu.PrintArea" localSheetId="16" hidden="1">Юнг!$A$1:$F$100</definedName>
    <definedName name="Z_A486C6EE_08B2_475E_8DA1_C3C3163412A9_.wvu.PrintArea" localSheetId="18" hidden="1">Яра!$A$1:$F$102</definedName>
    <definedName name="Z_A486C6EE_08B2_475E_8DA1_C3C3163412A9_.wvu.Rows" localSheetId="4" hidden="1">Але!$19:$24,Але!$28:$28,Але!$40:$40,Але!$55:$56,Але!$63:$64,Але!$69:$70,Але!$74:$74,Але!$79:$82,Але!$86:$93,Але!$142:$142</definedName>
    <definedName name="Z_A486C6EE_08B2_475E_8DA1_C3C3163412A9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A486C6EE_08B2_475E_8DA1_C3C3163412A9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A486C6EE_08B2_475E_8DA1_C3C3163412A9_.wvu.Rows" localSheetId="0" hidden="1">Консол!$45:$47</definedName>
    <definedName name="Z_A486C6EE_08B2_475E_8DA1_C3C3163412A9_.wvu.Rows" localSheetId="20" hidden="1">Лист1!$82:$84</definedName>
    <definedName name="Z_A486C6EE_08B2_475E_8DA1_C3C3163412A9_.wvu.Rows" localSheetId="8" hidden="1">Мор!$17:$24,Мор!$27:$27,Мор!$44:$44,Мор!$47:$47,Мор!$57:$57,Мор!$59:$61,Мор!$64:$65,Мор!$67:$68,Мор!$78:$78,Мор!$83:$88,Мор!$91:$97,Мор!$142:$142</definedName>
    <definedName name="Z_A486C6EE_08B2_475E_8DA1_C3C3163412A9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A486C6EE_08B2_475E_8DA1_C3C3163412A9_.wvu.Rows" localSheetId="10" hidden="1">Ори!$19:$24,Ори!$43:$43,Ори!$45:$45,Ори!$49:$51,Ори!$58:$58,Ори!$60:$61,Ори!$68:$69,Ори!$75:$75,Ори!$79:$79,Ори!$82:$82,Ори!$85:$89,Ори!$92:$99,Ори!$143:$143</definedName>
    <definedName name="Z_A486C6EE_08B2_475E_8DA1_C3C3163412A9_.wvu.Rows" localSheetId="2" hidden="1">район!$199:$199</definedName>
    <definedName name="Z_A486C6EE_08B2_475E_8DA1_C3C3163412A9_.wvu.Rows" localSheetId="5" hidden="1">Сун!$19:$24,Сун!$44:$44,Сун!$46:$46,Сун!$50:$52,Сун!$59:$59,Сун!$61:$62,Сун!$69:$70,Сун!$80:$80,Сун!$83:$83,Сун!$86:$86,Сун!$88:$90,Сун!$94:$101,Сун!$143:$143</definedName>
    <definedName name="Z_A486C6EE_08B2_475E_8DA1_C3C3163412A9_.wvu.Rows" localSheetId="11" hidden="1">Сят!$19:$24,Сят!$38:$38,Сят!$45:$47,Сят!$57:$57,Сят!$59:$60,Сят!$67:$68,Сят!$78:$78,Сят!$83:$87,Сят!$90:$97,Сят!$143:$143</definedName>
    <definedName name="Z_A486C6EE_08B2_475E_8DA1_C3C3163412A9_.wvu.Rows" localSheetId="12" hidden="1">Тор!$19:$24,Тор!$39:$39,Тор!$43:$43,Тор!$47:$47,Тор!$49:$49,Тор!$57:$57,Тор!$59:$60,Тор!$67:$68,Тор!$73:$73,Тор!$75:$75,Тор!$79:$79,Тор!$87:$95,Тор!$142:$142</definedName>
    <definedName name="Z_A486C6EE_08B2_475E_8DA1_C3C3163412A9_.wvu.Rows" localSheetId="13" hidden="1">Хор!$20:$22,Хор!$26:$26,Хор!$39:$39,Хор!$45:$47,Хор!$54:$54,Хор!$56:$57,Хор!$64:$65,Хор!$70:$71,Хор!$75:$75,Хор!$80:$84,Хор!$87:$94,Хор!$141:$141</definedName>
    <definedName name="Z_A486C6EE_08B2_475E_8DA1_C3C3163412A9_.wvu.Rows" localSheetId="14" hidden="1">Чум!$19:$19,Чум!$21:$21,Чум!$24:$24,Чум!$43:$43,Чум!$47:$49,Чум!$57:$57,Чум!$59:$60,Чум!$67:$68,Чум!$78:$78,Чум!$83:$87,Чум!$90:$97,Чум!$142:$142</definedName>
    <definedName name="Z_A486C6EE_08B2_475E_8DA1_C3C3163412A9_.wvu.Rows" localSheetId="15" hidden="1">Шать!$19:$25,Шать!$35:$36,Шать!$47:$49,Шать!$57:$57,Шать!$59:$60,Шать!$67:$68,Шать!$74:$74,Шать!$78:$78,Шать!$84:$86,Шать!$90:$97,Шать!$142:$142</definedName>
    <definedName name="Z_A486C6EE_08B2_475E_8DA1_C3C3163412A9_.wvu.Rows" localSheetId="16" hidden="1">Юнг!$19:$24,Юнг!$38:$38,Юнг!$42:$42,Юнг!$46:$46,Юнг!$56:$56,Юнг!$58:$59,Юнг!$66:$67,Юнг!$77:$77,Юнг!$82:$86,Юнг!$89:$96,Юнг!$142:$142</definedName>
    <definedName name="Z_A486C6EE_08B2_475E_8DA1_C3C3163412A9_.wvu.Rows" localSheetId="17" hidden="1">Юсь!$19:$24,Юсь!$45:$50,Юсь!$59:$59,Юсь!$61:$62,Юсь!$69:$70,Юсь!$85:$89,Юсь!$92:$99,Юсь!$143:$143</definedName>
    <definedName name="Z_A486C6EE_08B2_475E_8DA1_C3C3163412A9_.wvu.Rows" localSheetId="18" hidden="1">Яра!$19:$24,Яра!$28:$29,Яра!$48:$49,Яра!$58:$58,Яра!$60:$61,Яра!$68:$69,Яра!$75:$75,Яра!$79:$79,Яра!$84:$88,Яра!$91:$98,Яра!$143:$143</definedName>
    <definedName name="Z_A486C6EE_08B2_475E_8DA1_C3C3163412A9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A54C432C_6C68_4B53_A75C_446EB3A61B2B_.wvu.Cols" localSheetId="1" hidden="1">Справка!$BB:$BD,Справка!$BH:$BJ,Справка!$BN:$BV,Справка!$BZ:$CE,Справка!$DD:$DL</definedName>
    <definedName name="Z_A54C432C_6C68_4B53_A75C_446EB3A61B2B_.wvu.PrintArea" localSheetId="6" hidden="1">Иль!$A$1:$F$103</definedName>
    <definedName name="Z_A54C432C_6C68_4B53_A75C_446EB3A61B2B_.wvu.PrintArea" localSheetId="0" hidden="1">Консол!$A$1:$H$52</definedName>
    <definedName name="Z_A54C432C_6C68_4B53_A75C_446EB3A61B2B_.wvu.PrintArea" localSheetId="8" hidden="1">Мор!$A$1:$F$101</definedName>
    <definedName name="Z_A54C432C_6C68_4B53_A75C_446EB3A61B2B_.wvu.PrintArea" localSheetId="1" hidden="1">Справка!$A$1:$FE$31</definedName>
    <definedName name="Z_A54C432C_6C68_4B53_A75C_446EB3A61B2B_.wvu.PrintArea" localSheetId="12" hidden="1">Тор!$A$1:$F$101</definedName>
    <definedName name="Z_A54C432C_6C68_4B53_A75C_446EB3A61B2B_.wvu.PrintArea" localSheetId="16" hidden="1">Юнг!$A$1:$F$100</definedName>
    <definedName name="Z_A54C432C_6C68_4B53_A75C_446EB3A61B2B_.wvu.PrintArea" localSheetId="18" hidden="1">Яра!$A$1:$F$102</definedName>
    <definedName name="Z_A54C432C_6C68_4B53_A75C_446EB3A61B2B_.wvu.Rows" localSheetId="4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6" hidden="1">Иль!$19:$24,Иль!$30:$40,Иль!$46:$46,Иль!$48:$50,Иль!$57:$57,Иль!$59:$61,Иль!$67:$68,Иль!$77:$78,Иль!$80:$80,Иль!$85:$89,Иль!$92:$99,Иль!$142:$142</definedName>
    <definedName name="Z_A54C432C_6C68_4B53_A75C_446EB3A61B2B_.wvu.Rows" localSheetId="7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Консол!$22:$22,Консол!$45:$47</definedName>
    <definedName name="Z_A54C432C_6C68_4B53_A75C_446EB3A61B2B_.wvu.Rows" localSheetId="20" hidden="1">Лист1!$82:$84</definedName>
    <definedName name="Z_A54C432C_6C68_4B53_A75C_446EB3A61B2B_.wvu.Rows" localSheetId="8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9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10" hidden="1">Ори!$19:$24,Ори!$32:$36,Ори!$45:$45,Ори!$47:$47,Ори!$49:$51,Ори!$58:$58,Ори!$60:$61,Ори!$68:$69,Ори!$79:$80,Ори!$82:$82,Ори!$85:$89,Ори!$92:$99,Ори!$143:$143</definedName>
    <definedName name="Z_A54C432C_6C68_4B53_A75C_446EB3A61B2B_.wvu.Rows" localSheetId="2" hidden="1">район!$19:$19,район!$23:$23,район!$30:$30,район!$32:$36,район!$40:$40,район!$44:$44,район!$57:$58,район!#REF!,район!#REF!,район!#REF!,район!#REF!,район!#REF!,район!#REF!,район!$198:$199</definedName>
    <definedName name="Z_A54C432C_6C68_4B53_A75C_446EB3A61B2B_.wvu.Rows" localSheetId="1" hidden="1">Справка!#REF!</definedName>
    <definedName name="Z_A54C432C_6C68_4B53_A75C_446EB3A61B2B_.wvu.Rows" localSheetId="5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1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2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3" hidden="1">Хор!$19:$22,Хор!$26:$31,Хор!$39:$39,Хор!$43:$43,Хор!$45:$47,Хор!$54:$54,Хор!$56:$58,Хор!$64:$65,Хор!$71:$71,Хор!$75:$76,Хор!$80:$84,Хор!$87:$94,Хор!$141:$141</definedName>
    <definedName name="Z_A54C432C_6C68_4B53_A75C_446EB3A61B2B_.wvu.Rows" localSheetId="14" hidden="1">Чум!$19:$24,Чум!$31:$36,Чум!$46:$49,Чум!$57:$57,Чум!$59:$61,Чум!$67:$68,Чум!$78:$79,Чум!$83:$87,Чум!$90:$97,Чум!$142:$142</definedName>
    <definedName name="Z_A54C432C_6C68_4B53_A75C_446EB3A61B2B_.wvu.Rows" localSheetId="15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6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7" hidden="1">Юсь!$19:$24,Юсь!$31:$33,Юсь!$38:$38,Юсь!#REF!,Юсь!$45:$51,Юсь!$59:$59,Юсь!$61:$62,Юсь!$69:$70,Юсь!$80:$81,Юсь!$85:$89,Юсь!$92:$99,Юсь!$143:$143</definedName>
    <definedName name="Z_A54C432C_6C68_4B53_A75C_446EB3A61B2B_.wvu.Rows" localSheetId="18" hidden="1">Яра!$19:$24,Яра!$32:$34,Яра!$46:$50,Яра!$58:$58,Яра!$60:$62,Яра!$68:$69,Яра!$79:$80,Яра!$84:$88,Яра!$91:$98,Яра!$143:$143</definedName>
    <definedName name="Z_A54C432C_6C68_4B53_A75C_446EB3A61B2B_.wvu.Rows" localSheetId="19" hidden="1">Ярос!$19:$24,Ярос!$28:$37,Ярос!$44:$44,Ярос!$47:$47,Ярос!$55:$55,Ярос!$57:$59,Ярос!$65:$66,Ярос!$76:$76,Ярос!$81:$85,Ярос!$88:$95</definedName>
    <definedName name="Z_B30CE22D_C12F_4E12_8BB9_3AAE0A6991CC_.wvu.Cols" localSheetId="1" hidden="1">Справка!$I:$K,Справка!$BB:$BD,Справка!$BH:$BJ,Справка!$BN:$BS,Справка!$BZ:$CE,Справка!$DD:$DL</definedName>
    <definedName name="Z_B30CE22D_C12F_4E12_8BB9_3AAE0A6991CC_.wvu.PrintArea" localSheetId="4" hidden="1">Але!$A$1:$F$97</definedName>
    <definedName name="Z_B30CE22D_C12F_4E12_8BB9_3AAE0A6991CC_.wvu.PrintArea" localSheetId="6" hidden="1">Иль!$A$1:$F$103</definedName>
    <definedName name="Z_B30CE22D_C12F_4E12_8BB9_3AAE0A6991CC_.wvu.PrintArea" localSheetId="0" hidden="1">Консол!$A$1:$H$52</definedName>
    <definedName name="Z_B30CE22D_C12F_4E12_8BB9_3AAE0A6991CC_.wvu.PrintArea" localSheetId="8" hidden="1">Мор!$A$1:$F$101</definedName>
    <definedName name="Z_B30CE22D_C12F_4E12_8BB9_3AAE0A6991CC_.wvu.PrintArea" localSheetId="1" hidden="1">Справка!$A$1:$FE$31</definedName>
    <definedName name="Z_B30CE22D_C12F_4E12_8BB9_3AAE0A6991CC_.wvu.PrintArea" localSheetId="5" hidden="1">Сун!$A$1:$F$105</definedName>
    <definedName name="Z_B30CE22D_C12F_4E12_8BB9_3AAE0A6991CC_.wvu.PrintArea" localSheetId="12" hidden="1">Тор!$A$1:$F$101</definedName>
    <definedName name="Z_B30CE22D_C12F_4E12_8BB9_3AAE0A6991CC_.wvu.PrintArea" localSheetId="14" hidden="1">Чум!$A$1:$F$101</definedName>
    <definedName name="Z_B30CE22D_C12F_4E12_8BB9_3AAE0A6991CC_.wvu.PrintArea" localSheetId="16" hidden="1">Юнг!$A$1:$F$100</definedName>
    <definedName name="Z_B30CE22D_C12F_4E12_8BB9_3AAE0A6991CC_.wvu.PrintArea" localSheetId="17" hidden="1">Юсь!$A$1:$F$103</definedName>
    <definedName name="Z_B30CE22D_C12F_4E12_8BB9_3AAE0A6991CC_.wvu.PrintArea" localSheetId="18" hidden="1">Яра!$A$1:$F$102</definedName>
    <definedName name="Z_B30CE22D_C12F_4E12_8BB9_3AAE0A6991CC_.wvu.Rows" localSheetId="4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6" hidden="1">Иль!$19:$24,Иль!$35:$35,Иль!$40:$40,Иль!$49:$50,Иль!$57:$57,Иль!$59:$61,Иль!$67:$68,Иль!$77:$78,Иль!$80:$80,Иль!$85:$89,Иль!$92:$99,Иль!$142:$142</definedName>
    <definedName name="Z_B30CE22D_C12F_4E12_8BB9_3AAE0A6991CC_.wvu.Rows" localSheetId="7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Консол!$22:$22,Консол!$45:$47</definedName>
    <definedName name="Z_B30CE22D_C12F_4E12_8BB9_3AAE0A6991CC_.wvu.Rows" localSheetId="20" hidden="1">Лист1!$82:$84</definedName>
    <definedName name="Z_B30CE22D_C12F_4E12_8BB9_3AAE0A6991CC_.wvu.Rows" localSheetId="8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9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10" hidden="1">Ори!$19:$24,Ори!$32:$36,Ори!$45:$45,Ори!$49:$51,Ори!$58:$58,Ори!$60:$61,Ори!$68:$69,Ори!$79:$80,Ори!$82:$82,Ори!$85:$89,Ори!$92:$99,Ори!$143:$143</definedName>
    <definedName name="Z_B30CE22D_C12F_4E12_8BB9_3AAE0A6991CC_.wvu.Rows" localSheetId="5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1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2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3" hidden="1">Хор!$19:$22,Хор!$26:$31,Хор!$33:$35,Хор!$39:$39,Хор!$45:$47,Хор!$54:$54,Хор!$56:$58,Хор!$64:$65,Хор!$75:$75,Хор!$80:$84,Хор!$87:$94,Хор!$141:$141</definedName>
    <definedName name="Z_B30CE22D_C12F_4E12_8BB9_3AAE0A6991CC_.wvu.Rows" localSheetId="14" hidden="1">Чум!$19:$24,Чум!$47:$49,Чум!$57:$57,Чум!$59:$61,Чум!$67:$68,Чум!$78:$78,Чум!$83:$87,Чум!$90:$97,Чум!$142:$142</definedName>
    <definedName name="Z_B30CE22D_C12F_4E12_8BB9_3AAE0A6991CC_.wvu.Rows" localSheetId="15" hidden="1">Шать!$19:$25,Шать!$57:$57,Шать!$59:$60,Шать!$67:$67,Шать!$78:$78,Шать!$84:$86,Шать!$90:$97,Шать!$142:$142</definedName>
    <definedName name="Z_B30CE22D_C12F_4E12_8BB9_3AAE0A6991CC_.wvu.Rows" localSheetId="16" hidden="1">Юнг!$19:$24,Юнг!$38:$38,Юнг!$46:$46,Юнг!$56:$56,Юнг!$58:$60,Юнг!$66:$67,Юнг!$77:$77,Юнг!$82:$86,Юнг!$89:$96,Юнг!$142:$142</definedName>
    <definedName name="Z_B30CE22D_C12F_4E12_8BB9_3AAE0A6991CC_.wvu.Rows" localSheetId="17" hidden="1">Юсь!$19:$24,Юсь!$45:$50,Юсь!$59:$59,Юсь!$61:$62,Юсь!$69:$70,Юсь!$80:$80,Юсь!$85:$89,Юсь!$92:$99,Юсь!$143:$143</definedName>
    <definedName name="Z_B30CE22D_C12F_4E12_8BB9_3AAE0A6991CC_.wvu.Rows" localSheetId="18" hidden="1">Яра!$19:$24,Яра!$46:$46,Яра!$48:$50,Яра!$58:$58,Яра!$60:$61,Яра!$68:$69,Яра!$79:$79,Яра!$84:$88,Яра!$91:$98,Яра!$143:$143</definedName>
    <definedName name="Z_B30CE22D_C12F_4E12_8BB9_3AAE0A6991CC_.wvu.Rows" localSheetId="19" hidden="1">Ярос!$19:$24,Ярос!$28:$28,Ярос!$37:$37,Ярос!$44:$44,Ярос!$55:$55,Ярос!$57:$59,Ярос!$65:$66,Ярос!$76:$76,Ярос!$81:$85,Ярос!$88:$91,Ярос!$93:$95</definedName>
    <definedName name="Z_B31C8DB7_3E78_4144_A6B5_8DE36DE63F0E_.wvu.Cols" localSheetId="1" hidden="1">Справка!$BB:$BD,Справка!$BH:$BJ,Справка!$BN:$BS,Справка!$BZ:$CE,Справка!$DD:$DL</definedName>
    <definedName name="Z_B31C8DB7_3E78_4144_A6B5_8DE36DE63F0E_.wvu.PrintArea" localSheetId="6" hidden="1">Иль!$A$1:$F$103</definedName>
    <definedName name="Z_B31C8DB7_3E78_4144_A6B5_8DE36DE63F0E_.wvu.PrintArea" localSheetId="0" hidden="1">Консол!$A$1:$H$52</definedName>
    <definedName name="Z_B31C8DB7_3E78_4144_A6B5_8DE36DE63F0E_.wvu.PrintArea" localSheetId="8" hidden="1">Мор!$A$1:$F$101</definedName>
    <definedName name="Z_B31C8DB7_3E78_4144_A6B5_8DE36DE63F0E_.wvu.PrintArea" localSheetId="1" hidden="1">Справка!$A$1:$FE$31</definedName>
    <definedName name="Z_B31C8DB7_3E78_4144_A6B5_8DE36DE63F0E_.wvu.PrintArea" localSheetId="12" hidden="1">Тор!$A$1:$F$101</definedName>
    <definedName name="Z_B31C8DB7_3E78_4144_A6B5_8DE36DE63F0E_.wvu.PrintArea" localSheetId="16" hidden="1">Юнг!$A$1:$F$100</definedName>
    <definedName name="Z_B31C8DB7_3E78_4144_A6B5_8DE36DE63F0E_.wvu.PrintArea" localSheetId="18" hidden="1">Яра!$A$1:$F$102</definedName>
    <definedName name="Z_B31C8DB7_3E78_4144_A6B5_8DE36DE63F0E_.wvu.Rows" localSheetId="4" hidden="1">Але!$19:$24,Але!$46:$46,Але!$53:$53,Але!$55:$56,Але!$63:$64,Але!$74:$75,Але!$79:$83,Але!$87:$89</definedName>
    <definedName name="Z_B31C8DB7_3E78_4144_A6B5_8DE36DE63F0E_.wvu.Rows" localSheetId="6" hidden="1">Иль!$19:$24,Иль!$34:$34,Иль!$46:$46,Иль!#REF!,Иль!$59:$60,Иль!$67:$68,Иль!$77:$78,Иль!$80:$80,Иль!$92:$96</definedName>
    <definedName name="Z_B31C8DB7_3E78_4144_A6B5_8DE36DE63F0E_.wvu.Rows" localSheetId="7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Консол!$22:$22,Консол!$45:$47,Консол!$84:$86</definedName>
    <definedName name="Z_B31C8DB7_3E78_4144_A6B5_8DE36DE63F0E_.wvu.Rows" localSheetId="20" hidden="1">Лист1!$82:$84</definedName>
    <definedName name="Z_B31C8DB7_3E78_4144_A6B5_8DE36DE63F0E_.wvu.Rows" localSheetId="8" hidden="1">Мор!$21:$21,Мор!$23:$23,Мор!$37:$37,Мор!$44:$44,Мор!$47:$47,Мор!$49:$50,Мор!$57:$57,Мор!$59:$60,Мор!$67:$68,Мор!$83:$88,Мор!$91:$97</definedName>
    <definedName name="Z_B31C8DB7_3E78_4144_A6B5_8DE36DE63F0E_.wvu.Rows" localSheetId="9" hidden="1">Мос!$19:$24,Мос!$44:$44,Мос!$58:$58,Мос!$60:$61,Мос!$68:$69,Мос!$82:$82,Мос!$84:$90,Мос!$95:$100</definedName>
    <definedName name="Z_B31C8DB7_3E78_4144_A6B5_8DE36DE63F0E_.wvu.Rows" localSheetId="10" hidden="1">Ори!$19:$24,Ори!$33:$33,Ори!$45:$45,Ори!$49:$51,Ори!$58:$58,Ори!$60:$61,Ори!$68:$69,Ори!$79:$80,Ори!$82:$82,Ори!$84:$88,Ори!$92:$99</definedName>
    <definedName name="Z_B31C8DB7_3E78_4144_A6B5_8DE36DE63F0E_.wvu.Rows" localSheetId="2" hidden="1">район!$19:$19,район!$23:$23,район!$33:$35,район!$57:$58,район!#REF!,район!#REF!,район!#REF!,район!#REF!,район!#REF!</definedName>
    <definedName name="Z_B31C8DB7_3E78_4144_A6B5_8DE36DE63F0E_.wvu.Rows" localSheetId="5" hidden="1">Сун!$19:$24,Сун!$50:$52,Сун!$59:$59,Сун!$61:$62,Сун!$69:$70,Сун!$80:$81,Сун!$83:$83,Сун!$89:$90,Сун!$94:$98</definedName>
    <definedName name="Z_B31C8DB7_3E78_4144_A6B5_8DE36DE63F0E_.wvu.Rows" localSheetId="11" hidden="1">Сят!$19:$19,Сят!$45:$47,Сят!$57:$57,Сят!$59:$60,Сят!$67:$68,Сят!$83:$86,Сят!$90:$97</definedName>
    <definedName name="Z_B31C8DB7_3E78_4144_A6B5_8DE36DE63F0E_.wvu.Rows" localSheetId="12" hidden="1">Тор!$19:$19,Тор!$50:$50,Тор!$57:$57,Тор!$59:$60,Тор!$67:$68,Тор!$75:$75,Тор!$79:$80,Тор!$84:$95</definedName>
    <definedName name="Z_B31C8DB7_3E78_4144_A6B5_8DE36DE63F0E_.wvu.Rows" localSheetId="13" hidden="1">Хор!$19:$22,Хор!$30:$30,Хор!$39:$39,Хор!$54:$54,Хор!$56:$57,Хор!$64:$65,Хор!$80:$84,Хор!$87:$94</definedName>
    <definedName name="Z_B31C8DB7_3E78_4144_A6B5_8DE36DE63F0E_.wvu.Rows" localSheetId="14" hidden="1">Чум!$19:$19,Чум!$21:$21,Чум!$23:$24,Чум!$47:$49,Чум!$57:$57,Чум!$59:$60,Чум!$67:$68,Чум!$83:$87,Чум!$90:$97</definedName>
    <definedName name="Z_B31C8DB7_3E78_4144_A6B5_8DE36DE63F0E_.wvu.Rows" localSheetId="15" hidden="1">Шать!$19:$24,Шать!$47:$49,Шать!$57:$57,Шать!$59:$60,Шать!$67:$68,Шать!$78:$79,Шать!$83:$87,Шать!$90:$97</definedName>
    <definedName name="Z_B31C8DB7_3E78_4144_A6B5_8DE36DE63F0E_.wvu.Rows" localSheetId="16" hidden="1">Юнг!$19:$24,Юнг!$32:$32,Юнг!$56:$56,Юнг!$58:$59,Юнг!$66:$67,Юнг!$82:$86,Юнг!$89:$96</definedName>
    <definedName name="Z_B31C8DB7_3E78_4144_A6B5_8DE36DE63F0E_.wvu.Rows" localSheetId="17" hidden="1">Юсь!$20:$24,Юсь!#REF!,Юсь!$45:$50,Юсь!$69:$70,Юсь!$85:$89,Юсь!$92:$99</definedName>
    <definedName name="Z_B31C8DB7_3E78_4144_A6B5_8DE36DE63F0E_.wvu.Rows" localSheetId="18" hidden="1">Яра!$19:$24,Яра!$46:$46,Яра!$48:$50,Яра!$58:$58,Яра!$60:$61,Яра!$68:$69,Яра!$79:$79,Яра!$84:$88,Яра!$91:$98</definedName>
    <definedName name="Z_B31C8DB7_3E78_4144_A6B5_8DE36DE63F0E_.wvu.Rows" localSheetId="19" hidden="1">Ярос!$19:$24,Ярос!$55:$55,Ярос!$57:$58,Ярос!$65:$66,Ярос!$76:$77,Ярос!$81:$86,Ярос!$88:$95</definedName>
    <definedName name="Z_F1E84C44_1ACD_474A_BDE0_C7088DB6C590_.wvu.Cols" localSheetId="1" hidden="1">Справка!$BB:$BD,Справка!$BH:$BJ,Справка!$BN:$BP,Справка!$BR:$BS,Справка!$BZ:$CE,Справка!$DD:$DL</definedName>
    <definedName name="Z_F1E84C44_1ACD_474A_BDE0_C7088DB6C590_.wvu.PrintArea" localSheetId="4" hidden="1">Але!$A$1:$F$97</definedName>
    <definedName name="Z_F1E84C44_1ACD_474A_BDE0_C7088DB6C590_.wvu.PrintArea" localSheetId="6" hidden="1">Иль!$A$1:$F$103</definedName>
    <definedName name="Z_F1E84C44_1ACD_474A_BDE0_C7088DB6C590_.wvu.PrintArea" localSheetId="0" hidden="1">Консол!$A$1:$H$52</definedName>
    <definedName name="Z_F1E84C44_1ACD_474A_BDE0_C7088DB6C590_.wvu.PrintArea" localSheetId="8" hidden="1">Мор!$A$1:$F$101</definedName>
    <definedName name="Z_F1E84C44_1ACD_474A_BDE0_C7088DB6C590_.wvu.PrintArea" localSheetId="2" hidden="1">район!$A$1:$G$203</definedName>
    <definedName name="Z_F1E84C44_1ACD_474A_BDE0_C7088DB6C590_.wvu.PrintArea" localSheetId="1" hidden="1">Справка!$A$1:$FE$31</definedName>
    <definedName name="Z_F1E84C44_1ACD_474A_BDE0_C7088DB6C590_.wvu.PrintArea" localSheetId="5" hidden="1">Сун!$A$1:$F$105</definedName>
    <definedName name="Z_F1E84C44_1ACD_474A_BDE0_C7088DB6C590_.wvu.PrintArea" localSheetId="12" hidden="1">Тор!$A$1:$F$101</definedName>
    <definedName name="Z_F1E84C44_1ACD_474A_BDE0_C7088DB6C590_.wvu.PrintArea" localSheetId="16" hidden="1">Юнг!$A$1:$F$100</definedName>
    <definedName name="Z_F1E84C44_1ACD_474A_BDE0_C7088DB6C590_.wvu.PrintArea" localSheetId="18" hidden="1">Яра!$A$1:$F$102</definedName>
    <definedName name="Z_F1E84C44_1ACD_474A_BDE0_C7088DB6C590_.wvu.Rows" localSheetId="4" hidden="1">Але!$19:$24,Але!$28:$28,Але!$40:$40,Але!$55:$56,Але!$63:$64,Але!$69:$70,Але!$74:$74,Але!$79:$82,Але!$86:$93,Але!$142:$142</definedName>
    <definedName name="Z_F1E84C44_1ACD_474A_BDE0_C7088DB6C590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F1E84C44_1ACD_474A_BDE0_C7088DB6C59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1E84C44_1ACD_474A_BDE0_C7088DB6C590_.wvu.Rows" localSheetId="0" hidden="1">Консол!$45:$47</definedName>
    <definedName name="Z_F1E84C44_1ACD_474A_BDE0_C7088DB6C590_.wvu.Rows" localSheetId="20" hidden="1">Лист1!$82:$84</definedName>
    <definedName name="Z_F1E84C44_1ACD_474A_BDE0_C7088DB6C590_.wvu.Rows" localSheetId="8" hidden="1">Мор!$17:$24,Мор!$27:$27,Мор!$44:$44,Мор!$47:$47,Мор!$57:$57,Мор!$59:$61,Мор!$64:$65,Мор!$67:$68,Мор!$78:$78,Мор!$83:$88,Мор!$91:$97,Мор!$142:$142</definedName>
    <definedName name="Z_F1E84C44_1ACD_474A_BDE0_C7088DB6C590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F1E84C44_1ACD_474A_BDE0_C7088DB6C590_.wvu.Rows" localSheetId="10" hidden="1">Ори!$19:$24,Ори!$43:$43,Ори!$45:$45,Ори!$49:$51,Ори!$58:$58,Ори!$60:$61,Ори!$68:$69,Ори!$75:$75,Ори!$79:$79,Ори!$82:$82,Ори!$85:$89,Ори!$92:$99,Ори!$143:$143</definedName>
    <definedName name="Z_F1E84C44_1ACD_474A_BDE0_C7088DB6C590_.wvu.Rows" localSheetId="5" hidden="1">Сун!$19:$24,Сун!$44:$44,Сун!$46:$46,Сун!$50:$52,Сун!$59:$59,Сун!$61:$62,Сун!$69:$70,Сун!$80:$80,Сун!$83:$83,Сун!$86:$86,Сун!$88:$90,Сун!$94:$101,Сун!$143:$143</definedName>
    <definedName name="Z_F1E84C44_1ACD_474A_BDE0_C7088DB6C590_.wvu.Rows" localSheetId="11" hidden="1">Сят!$19:$24,Сят!$38:$38,Сят!$45:$47,Сят!$57:$57,Сят!$59:$60,Сят!$67:$68,Сят!$78:$78,Сят!$83:$87,Сят!$90:$97,Сят!$143:$143</definedName>
    <definedName name="Z_F1E84C44_1ACD_474A_BDE0_C7088DB6C590_.wvu.Rows" localSheetId="12" hidden="1">Тор!$19:$24,Тор!$39:$39,Тор!$43:$43,Тор!$47:$47,Тор!$49:$49,Тор!$57:$57,Тор!$59:$60,Тор!$67:$68,Тор!$73:$73,Тор!$75:$75,Тор!$79:$79,Тор!$87:$95,Тор!$142:$142</definedName>
    <definedName name="Z_F1E84C44_1ACD_474A_BDE0_C7088DB6C590_.wvu.Rows" localSheetId="13" hidden="1">Хор!$20:$22,Хор!$26:$26,Хор!$39:$39,Хор!$45:$47,Хор!$54:$54,Хор!$56:$57,Хор!$64:$65,Хор!$70:$71,Хор!$75:$75,Хор!$80:$84,Хор!$87:$94,Хор!$141:$141</definedName>
    <definedName name="Z_F1E84C44_1ACD_474A_BDE0_C7088DB6C590_.wvu.Rows" localSheetId="14" hidden="1">Чум!$19:$19,Чум!$21:$21,Чум!$24:$24,Чум!$43:$43,Чум!$47:$49,Чум!$57:$57,Чум!$59:$60,Чум!$67:$68,Чум!$78:$78,Чум!$83:$87,Чум!$90:$97,Чум!$142:$142</definedName>
    <definedName name="Z_F1E84C44_1ACD_474A_BDE0_C7088DB6C590_.wvu.Rows" localSheetId="15" hidden="1">Шать!$19:$25,Шать!$35:$36,Шать!$47:$49,Шать!$57:$57,Шать!$59:$60,Шать!$67:$68,Шать!$74:$74,Шать!$78:$78,Шать!$84:$86,Шать!$90:$97,Шать!$142:$142</definedName>
    <definedName name="Z_F1E84C44_1ACD_474A_BDE0_C7088DB6C590_.wvu.Rows" localSheetId="16" hidden="1">Юнг!$19:$24,Юнг!$38:$38,Юнг!$42:$42,Юнг!$46:$46,Юнг!$56:$56,Юнг!$58:$59,Юнг!$66:$67,Юнг!$77:$77,Юнг!$82:$86,Юнг!$89:$96,Юнг!$142:$142</definedName>
    <definedName name="Z_F1E84C44_1ACD_474A_BDE0_C7088DB6C590_.wvu.Rows" localSheetId="17" hidden="1">Юсь!$19:$24,Юсь!$45:$50,Юсь!$59:$59,Юсь!$61:$62,Юсь!$69:$70,Юсь!$85:$89,Юсь!$92:$99,Юсь!$143:$143</definedName>
    <definedName name="Z_F1E84C44_1ACD_474A_BDE0_C7088DB6C590_.wvu.Rows" localSheetId="18" hidden="1">Яра!$19:$24,Яра!$28:$29,Яра!$48:$49,Яра!$58:$58,Яра!$60:$61,Яра!$68:$69,Яра!$75:$75,Яра!$79:$79,Яра!$84:$88,Яра!$91:$98,Яра!$143:$143</definedName>
    <definedName name="Z_F1E84C44_1ACD_474A_BDE0_C7088DB6C590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F85EE840_0C31_454A_8951_832C2E9E0600_.wvu.Cols" localSheetId="1" hidden="1">Справка!$BB:$BD,Справка!$BH:$BJ,Справка!$BN:$BP,Справка!$BR:$BS,Справка!$BZ:$CE,Справка!$DD:$DL</definedName>
    <definedName name="Z_F85EE840_0C31_454A_8951_832C2E9E0600_.wvu.PrintArea" localSheetId="4" hidden="1">Але!$A$1:$F$97</definedName>
    <definedName name="Z_F85EE840_0C31_454A_8951_832C2E9E0600_.wvu.PrintArea" localSheetId="6" hidden="1">Иль!$A$1:$F$103</definedName>
    <definedName name="Z_F85EE840_0C31_454A_8951_832C2E9E0600_.wvu.PrintArea" localSheetId="0" hidden="1">Консол!$A$1:$H$52</definedName>
    <definedName name="Z_F85EE840_0C31_454A_8951_832C2E9E0600_.wvu.PrintArea" localSheetId="8" hidden="1">Мор!$A$1:$F$101</definedName>
    <definedName name="Z_F85EE840_0C31_454A_8951_832C2E9E0600_.wvu.PrintArea" localSheetId="2" hidden="1">район!$A$1:$G$203</definedName>
    <definedName name="Z_F85EE840_0C31_454A_8951_832C2E9E0600_.wvu.PrintArea" localSheetId="1" hidden="1">Справка!$A$1:$FE$31</definedName>
    <definedName name="Z_F85EE840_0C31_454A_8951_832C2E9E0600_.wvu.PrintArea" localSheetId="5" hidden="1">Сун!$A$1:$F$105</definedName>
    <definedName name="Z_F85EE840_0C31_454A_8951_832C2E9E0600_.wvu.PrintArea" localSheetId="12" hidden="1">Тор!$A$1:$F$101</definedName>
    <definedName name="Z_F85EE840_0C31_454A_8951_832C2E9E0600_.wvu.PrintArea" localSheetId="16" hidden="1">Юнг!$A$1:$F$100</definedName>
    <definedName name="Z_F85EE840_0C31_454A_8951_832C2E9E0600_.wvu.PrintArea" localSheetId="18" hidden="1">Яра!$A$1:$F$102</definedName>
    <definedName name="Z_F85EE840_0C31_454A_8951_832C2E9E0600_.wvu.Rows" localSheetId="4" hidden="1">Але!$19:$24,Але!$28:$28,Але!$36:$36,Але!$40:$40,Але!$55:$56,Але!$63:$64,Але!$69:$70,Але!$74:$74,Але!$79:$82,Але!$86:$93,Але!$142:$142</definedName>
    <definedName name="Z_F85EE840_0C31_454A_8951_832C2E9E060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85EE840_0C31_454A_8951_832C2E9E0600_.wvu.Rows" localSheetId="0" hidden="1">Консол!$45:$47</definedName>
    <definedName name="Z_F85EE840_0C31_454A_8951_832C2E9E0600_.wvu.Rows" localSheetId="20" hidden="1">Лист1!$82:$84</definedName>
    <definedName name="Z_F85EE840_0C31_454A_8951_832C2E9E0600_.wvu.Rows" localSheetId="8" hidden="1">Мор!$17:$24,Мор!$27:$27,Мор!$44:$44,Мор!$47:$47,Мор!$57:$57,Мор!$59:$61,Мор!$64:$65,Мор!$67:$68,Мор!$78:$78,Мор!$83:$88,Мор!$91:$97,Мор!$142:$142</definedName>
    <definedName name="Z_F85EE840_0C31_454A_8951_832C2E9E0600_.wvu.Rows" localSheetId="9" hidden="1">Мос!$19:$24,Мос!$42:$42,Мос!$44:$44,Мос!$48:$48,Мос!$50:$50,Мос!$58:$58,Мос!$60:$61,Мос!$68:$69,Мос!$74:$75,Мос!$82:$82,Мос!$85:$92,Мос!$95:$102,Мос!$143:$143</definedName>
    <definedName name="Z_F85EE840_0C31_454A_8951_832C2E9E0600_.wvu.Rows" localSheetId="10" hidden="1">Ори!$19:$24,Ори!$45:$45,Ори!$49:$51,Ори!$58:$58,Ори!$60:$61,Ори!$68:$69,Ори!$79:$79,Ори!$82:$82,Ори!$85:$89,Ори!$92:$99,Ори!$143:$143</definedName>
    <definedName name="Z_F85EE840_0C31_454A_8951_832C2E9E0600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F85EE840_0C31_454A_8951_832C2E9E0600_.wvu.Rows" localSheetId="11" hidden="1">Сят!$19:$24,Сят!$38:$38,Сят!$45:$47,Сят!$57:$57,Сят!$59:$60,Сят!$67:$68,Сят!$78:$78,Сят!$83:$87,Сят!$90:$97,Сят!$143:$143</definedName>
    <definedName name="Z_F85EE840_0C31_454A_8951_832C2E9E0600_.wvu.Rows" localSheetId="12" hidden="1">Тор!$19:$24,Тор!$39:$39,Тор!$43:$43,Тор!$47:$47,Тор!$49:$49,Тор!$57:$57,Тор!$59:$60,Тор!$67:$68,Тор!$73:$73,Тор!$75:$75,Тор!$79:$79,Тор!$87:$95,Тор!$142:$142</definedName>
    <definedName name="Z_F85EE840_0C31_454A_8951_832C2E9E0600_.wvu.Rows" localSheetId="13" hidden="1">Хор!$20:$22,Хор!$26:$31,Хор!$39:$39,Хор!$45:$47,Хор!$54:$54,Хор!$56:$57,Хор!$64:$65,Хор!$70:$71,Хор!$75:$75,Хор!$80:$84,Хор!$87:$94,Хор!$141:$141</definedName>
    <definedName name="Z_F85EE840_0C31_454A_8951_832C2E9E0600_.wvu.Rows" localSheetId="14" hidden="1">Чум!$19:$19,Чум!$21:$21,Чум!$24:$24,Чум!$43:$43,Чум!$47:$49,Чум!$57:$57,Чум!$59:$60,Чум!$67:$68,Чум!$78:$78,Чум!$83:$87,Чум!$90:$97,Чум!$142:$142</definedName>
    <definedName name="Z_F85EE840_0C31_454A_8951_832C2E9E0600_.wvu.Rows" localSheetId="15" hidden="1">Шать!$19:$25,Шать!$35:$36,Шать!$38:$38,Шать!$47:$49,Шать!$57:$57,Шать!$59:$60,Шать!$67:$68,Шать!$74:$74,Шать!$78:$78,Шать!$84:$86,Шать!$90:$97,Шать!$142:$142</definedName>
    <definedName name="Z_F85EE840_0C31_454A_8951_832C2E9E0600_.wvu.Rows" localSheetId="16" hidden="1">Юнг!$19:$24,Юнг!$38:$38,Юнг!$42:$42,Юнг!$46:$46,Юнг!$56:$56,Юнг!$58:$59,Юнг!$66:$67,Юнг!$77:$77,Юнг!$82:$86,Юнг!$89:$96,Юнг!$142:$142</definedName>
    <definedName name="Z_F85EE840_0C31_454A_8951_832C2E9E0600_.wvu.Rows" localSheetId="17" hidden="1">Юсь!$19:$24,Юсь!$38:$38,Юсь!$45:$50,Юсь!$59:$59,Юсь!$61:$62,Юсь!$69:$70,Юсь!$75:$76,Юсь!$85:$89,Юсь!$92:$99,Юсь!$143:$143</definedName>
    <definedName name="Z_F85EE840_0C31_454A_8951_832C2E9E0600_.wvu.Rows" localSheetId="18" hidden="1">Яра!$19:$24,Яра!$28:$29,Яра!$33:$33,Яра!$36:$36,Яра!$38:$38,Яра!$43:$43,Яра!$48:$49,Яра!$51:$51,Яра!$58:$58,Яра!$60:$61,Яра!$68:$69,Яра!$75:$75,Яра!$79:$79,Яра!$84:$88,Яра!$91:$98,Яра!$143:$143</definedName>
    <definedName name="Z_F85EE840_0C31_454A_8951_832C2E9E0600_.wvu.Rows" localSheetId="19" hidden="1">Ярос!$19:$24,Ярос!$28:$28,Ярос!$41:$41,Ярос!$44:$44,Ярос!$47:$48,Ярос!$55:$55,Ярос!$57:$58,Ярос!$65:$66,Ярос!$76:$76,Ярос!$83:$85,Ярос!$88:$95</definedName>
    <definedName name="_xlnm.Print_Area" localSheetId="4">Але!$A$1:$F$97</definedName>
    <definedName name="_xlnm.Print_Area" localSheetId="6">Иль!$A$1:$F$103</definedName>
    <definedName name="_xlnm.Print_Area" localSheetId="0">Консол!$A$1:$H$52</definedName>
    <definedName name="_xlnm.Print_Area" localSheetId="8">Мор!$A$1:$F$101</definedName>
    <definedName name="_xlnm.Print_Area" localSheetId="2">район!$A$1:$G$203</definedName>
    <definedName name="_xlnm.Print_Area" localSheetId="1">Справка!$A$1:$FE$31</definedName>
    <definedName name="_xlnm.Print_Area" localSheetId="5">Сун!$A$1:$F$105</definedName>
    <definedName name="_xlnm.Print_Area" localSheetId="12">Тор!$A$1:$F$101</definedName>
    <definedName name="_xlnm.Print_Area" localSheetId="16">Юнг!$A$1:$F$100</definedName>
    <definedName name="_xlnm.Print_Area" localSheetId="18">Яра!$A$1:$F$102</definedName>
  </definedNames>
  <calcPr calcId="125725"/>
  <customWorkbookViews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  <customWorkbookView name="Ананьева Рената Иосифовна - Личное представление" guid="{A486C6EE-08B2-475E-8DA1-C3C3163412A9}" mergeInterval="0" personalView="1" xWindow="16" yWindow="40" windowWidth="1904" windowHeight="1040" tabRatio="695" activeSheetId="3"/>
    <customWorkbookView name="Смирнова Любовь Юрьевна - Личное представление" guid="{F1E84C44-1ACD-474A-BDE0-C7088DB6C590}" mergeInterval="0" personalView="1" minimized="1" windowWidth="0" windowHeight="0" tabRatio="695" activeSheetId="3"/>
    <customWorkbookView name="Данилова Нина Алексеевна - Личное представление" guid="{F85EE840-0C31-454A-8951-832C2E9E0600}" mergeInterval="0" personalView="1" maximized="1" xWindow="-8" yWindow="-8" windowWidth="1936" windowHeight="1056" tabRatio="695" activeSheetId="3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xWindow="1" yWindow="1" windowWidth="1280" windowHeight="804" tabRatio="695" activeSheetId="6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Алина Валерьевна Васильева - Личное представление" guid="{5C539BE6-C8E0-453F-AB5E-9E58094195EA}" mergeInterval="0" personalView="1" maximized="1" xWindow="-8" yWindow="-8" windowWidth="1936" windowHeight="1056" tabRatio="695" activeSheetId="2"/>
  </customWorkbookViews>
</workbook>
</file>

<file path=xl/calcChain.xml><?xml version="1.0" encoding="utf-8"?>
<calcChain xmlns="http://schemas.openxmlformats.org/spreadsheetml/2006/main">
  <c r="E195" i="3"/>
  <c r="G90"/>
  <c r="G103"/>
  <c r="G104"/>
  <c r="G105"/>
  <c r="G152"/>
  <c r="G153"/>
  <c r="G181"/>
  <c r="G182"/>
  <c r="G183"/>
  <c r="G184"/>
  <c r="G185"/>
  <c r="G186"/>
  <c r="G187"/>
  <c r="G188"/>
  <c r="E159"/>
  <c r="E160"/>
  <c r="G174"/>
  <c r="E174"/>
  <c r="D121"/>
  <c r="E143"/>
  <c r="E66"/>
  <c r="C23"/>
  <c r="F121"/>
  <c r="G151" l="1"/>
  <c r="D134"/>
  <c r="E124"/>
  <c r="D26"/>
  <c r="F144"/>
  <c r="C121" l="1"/>
  <c r="G199"/>
  <c r="E142"/>
  <c r="F50"/>
  <c r="F48"/>
  <c r="F38"/>
  <c r="F26"/>
  <c r="G26" s="1"/>
  <c r="F6"/>
  <c r="C144"/>
  <c r="F28"/>
  <c r="D28"/>
  <c r="C28"/>
  <c r="C18"/>
  <c r="F13"/>
  <c r="D13"/>
  <c r="C13"/>
  <c r="C8"/>
  <c r="D6"/>
  <c r="C6"/>
  <c r="F65"/>
  <c r="D65"/>
  <c r="C65"/>
  <c r="F59"/>
  <c r="D59"/>
  <c r="C59"/>
  <c r="F53"/>
  <c r="G7"/>
  <c r="G9"/>
  <c r="G10"/>
  <c r="G11"/>
  <c r="G12"/>
  <c r="G14"/>
  <c r="G15"/>
  <c r="G16"/>
  <c r="G17"/>
  <c r="G19"/>
  <c r="G21"/>
  <c r="G22"/>
  <c r="G24"/>
  <c r="G25"/>
  <c r="G27"/>
  <c r="G29"/>
  <c r="G30"/>
  <c r="G32"/>
  <c r="G36"/>
  <c r="G41"/>
  <c r="G42"/>
  <c r="G43"/>
  <c r="G44"/>
  <c r="G45"/>
  <c r="G47"/>
  <c r="G49"/>
  <c r="G51"/>
  <c r="G55"/>
  <c r="G56"/>
  <c r="G60"/>
  <c r="G61"/>
  <c r="G62"/>
  <c r="G63"/>
  <c r="G64"/>
  <c r="G67"/>
  <c r="G70"/>
  <c r="G72"/>
  <c r="G73"/>
  <c r="G74"/>
  <c r="G77"/>
  <c r="E7"/>
  <c r="E9"/>
  <c r="E10"/>
  <c r="E11"/>
  <c r="E14"/>
  <c r="E16"/>
  <c r="E17"/>
  <c r="E19"/>
  <c r="E21"/>
  <c r="E22"/>
  <c r="E24"/>
  <c r="E25"/>
  <c r="E26"/>
  <c r="E27"/>
  <c r="E29"/>
  <c r="E30"/>
  <c r="E36"/>
  <c r="E41"/>
  <c r="E42"/>
  <c r="E43"/>
  <c r="E45"/>
  <c r="E47"/>
  <c r="E49"/>
  <c r="E51"/>
  <c r="E52"/>
  <c r="E54"/>
  <c r="E55"/>
  <c r="E56"/>
  <c r="E60"/>
  <c r="E61"/>
  <c r="E62"/>
  <c r="E64"/>
  <c r="E67"/>
  <c r="E70"/>
  <c r="E72"/>
  <c r="E73"/>
  <c r="E74"/>
  <c r="D53"/>
  <c r="C53"/>
  <c r="D50"/>
  <c r="C50"/>
  <c r="C48"/>
  <c r="D48"/>
  <c r="D38"/>
  <c r="C38"/>
  <c r="F8"/>
  <c r="D8"/>
  <c r="F20"/>
  <c r="F23"/>
  <c r="D23"/>
  <c r="E23" s="1"/>
  <c r="D20"/>
  <c r="E121" l="1"/>
  <c r="G121"/>
  <c r="E48"/>
  <c r="E53"/>
  <c r="G13"/>
  <c r="G50"/>
  <c r="E8"/>
  <c r="E13"/>
  <c r="G38"/>
  <c r="C37"/>
  <c r="G48"/>
  <c r="F18"/>
  <c r="F5" s="1"/>
  <c r="F37"/>
  <c r="D18"/>
  <c r="D5" s="1"/>
  <c r="G8"/>
  <c r="E20"/>
  <c r="C5"/>
  <c r="G23"/>
  <c r="E50"/>
  <c r="E38"/>
  <c r="G20"/>
  <c r="D37"/>
  <c r="E65"/>
  <c r="G65"/>
  <c r="G28"/>
  <c r="E28"/>
  <c r="G6"/>
  <c r="E6"/>
  <c r="G59"/>
  <c r="E59"/>
  <c r="G53"/>
  <c r="F68" l="1"/>
  <c r="E5"/>
  <c r="G18"/>
  <c r="E37"/>
  <c r="E18"/>
  <c r="C68"/>
  <c r="G37"/>
  <c r="D68"/>
  <c r="G5"/>
  <c r="G68" l="1"/>
  <c r="E68"/>
  <c r="D144"/>
  <c r="F108" l="1"/>
  <c r="G87"/>
  <c r="C180"/>
  <c r="F180" l="1"/>
  <c r="G102"/>
  <c r="D190"/>
  <c r="C190"/>
  <c r="F190"/>
  <c r="F149"/>
  <c r="G107" l="1"/>
  <c r="G109"/>
  <c r="G110"/>
  <c r="G111"/>
  <c r="G112"/>
  <c r="G113"/>
  <c r="G114"/>
  <c r="G115"/>
  <c r="G116"/>
  <c r="G118"/>
  <c r="G119"/>
  <c r="G120"/>
  <c r="G192"/>
  <c r="G193"/>
  <c r="G194"/>
  <c r="G175"/>
  <c r="G176"/>
  <c r="G177"/>
  <c r="G179"/>
  <c r="G171"/>
  <c r="G170"/>
  <c r="G166"/>
  <c r="G165"/>
  <c r="G164"/>
  <c r="G155"/>
  <c r="G156"/>
  <c r="G157"/>
  <c r="G158"/>
  <c r="G159"/>
  <c r="G161"/>
  <c r="G162"/>
  <c r="G163"/>
  <c r="G135"/>
  <c r="G136"/>
  <c r="G137"/>
  <c r="G138"/>
  <c r="G139"/>
  <c r="G146"/>
  <c r="G147"/>
  <c r="G150"/>
  <c r="G122"/>
  <c r="G123"/>
  <c r="G125"/>
  <c r="G126"/>
  <c r="G129"/>
  <c r="G130"/>
  <c r="G132"/>
  <c r="G133"/>
  <c r="G100"/>
  <c r="G134"/>
  <c r="E171"/>
  <c r="E162"/>
  <c r="E158"/>
  <c r="E157"/>
  <c r="E140"/>
  <c r="E128"/>
  <c r="E164"/>
  <c r="E165"/>
  <c r="E155"/>
  <c r="E156"/>
  <c r="E161"/>
  <c r="E151"/>
  <c r="E152"/>
  <c r="E153"/>
  <c r="E192"/>
  <c r="E102" l="1"/>
  <c r="E194"/>
  <c r="E184"/>
  <c r="E183"/>
  <c r="C134"/>
  <c r="E131"/>
  <c r="E104"/>
  <c r="E103"/>
  <c r="E90"/>
  <c r="E120"/>
  <c r="E119"/>
  <c r="E118"/>
  <c r="D108"/>
  <c r="G108" s="1"/>
  <c r="C108"/>
  <c r="F172" l="1"/>
  <c r="D172"/>
  <c r="C172"/>
  <c r="C149"/>
  <c r="E100"/>
  <c r="E170"/>
  <c r="E177"/>
  <c r="E176"/>
  <c r="E175"/>
  <c r="G144"/>
  <c r="E188"/>
  <c r="E187"/>
  <c r="E186"/>
  <c r="E134"/>
  <c r="E135"/>
  <c r="E136"/>
  <c r="E137"/>
  <c r="E138"/>
  <c r="E139"/>
  <c r="E141"/>
  <c r="E126"/>
  <c r="E127"/>
  <c r="E129"/>
  <c r="E130"/>
  <c r="E132"/>
  <c r="E112"/>
  <c r="E113"/>
  <c r="E114"/>
  <c r="E115"/>
  <c r="E111"/>
  <c r="E110"/>
  <c r="E109"/>
  <c r="E116"/>
  <c r="D98"/>
  <c r="F98"/>
  <c r="E123"/>
  <c r="E108" l="1"/>
  <c r="C98"/>
  <c r="E107"/>
  <c r="F93" l="1"/>
  <c r="F91"/>
  <c r="F82"/>
  <c r="C69" l="1"/>
  <c r="E83"/>
  <c r="E84"/>
  <c r="E85"/>
  <c r="E86"/>
  <c r="E87"/>
  <c r="E88"/>
  <c r="E89"/>
  <c r="E92"/>
  <c r="E94"/>
  <c r="E95"/>
  <c r="E96"/>
  <c r="E97"/>
  <c r="E99"/>
  <c r="E101"/>
  <c r="E105"/>
  <c r="E106"/>
  <c r="E122"/>
  <c r="E125"/>
  <c r="E133"/>
  <c r="E146"/>
  <c r="E150"/>
  <c r="E154"/>
  <c r="E163"/>
  <c r="E167"/>
  <c r="E168"/>
  <c r="E169"/>
  <c r="E173"/>
  <c r="E179"/>
  <c r="E181"/>
  <c r="E182"/>
  <c r="E185"/>
  <c r="E189"/>
  <c r="E191"/>
  <c r="E193"/>
  <c r="G83"/>
  <c r="G84"/>
  <c r="G85"/>
  <c r="G86"/>
  <c r="G89"/>
  <c r="G92"/>
  <c r="G94"/>
  <c r="G95"/>
  <c r="G96"/>
  <c r="G97"/>
  <c r="G99"/>
  <c r="G101"/>
  <c r="G106"/>
  <c r="G154"/>
  <c r="G167"/>
  <c r="G168"/>
  <c r="G169"/>
  <c r="G173"/>
  <c r="G189"/>
  <c r="G191"/>
  <c r="F69"/>
  <c r="F200" l="1"/>
  <c r="C26" i="19" l="1"/>
  <c r="G10" i="1"/>
  <c r="D10" s="1"/>
  <c r="F10"/>
  <c r="C10" s="1"/>
  <c r="F9"/>
  <c r="C9" s="1"/>
  <c r="G8"/>
  <c r="D8" s="1"/>
  <c r="F8"/>
  <c r="C8" s="1"/>
  <c r="D25"/>
  <c r="D22"/>
  <c r="C22"/>
  <c r="D21"/>
  <c r="C26"/>
  <c r="C25"/>
  <c r="F78" i="3" l="1"/>
  <c r="F79" s="1"/>
  <c r="D27" i="1"/>
  <c r="D149" i="3"/>
  <c r="G149" s="1"/>
  <c r="C34" i="19"/>
  <c r="D66" i="12"/>
  <c r="D67" i="9"/>
  <c r="E49" i="8"/>
  <c r="F49"/>
  <c r="C34" i="4"/>
  <c r="D26" i="10"/>
  <c r="CX28" i="2"/>
  <c r="BX14"/>
  <c r="CY16"/>
  <c r="CX16"/>
  <c r="D42" i="6"/>
  <c r="C42"/>
  <c r="D26" i="1"/>
  <c r="E26" l="1"/>
  <c r="EU19" i="2"/>
  <c r="ET19"/>
  <c r="C39" i="6"/>
  <c r="BW16" i="2" s="1"/>
  <c r="D39" i="6"/>
  <c r="D34" i="19" l="1"/>
  <c r="D29" i="17"/>
  <c r="D69" i="3"/>
  <c r="D34" i="17"/>
  <c r="F34" s="1"/>
  <c r="C31" i="7"/>
  <c r="D31"/>
  <c r="E32"/>
  <c r="F32"/>
  <c r="E33"/>
  <c r="F33"/>
  <c r="C34"/>
  <c r="D34"/>
  <c r="E35"/>
  <c r="F35"/>
  <c r="BU23" i="2"/>
  <c r="D74" i="13"/>
  <c r="D35" i="10"/>
  <c r="D77" i="15"/>
  <c r="C41" i="18"/>
  <c r="G69" i="3" l="1"/>
  <c r="E69"/>
  <c r="E34" i="7"/>
  <c r="E34" i="17"/>
  <c r="BU27" i="2"/>
  <c r="F31" i="7"/>
  <c r="F34"/>
  <c r="E31"/>
  <c r="D73" i="4"/>
  <c r="D53" i="13" l="1"/>
  <c r="C36" i="19"/>
  <c r="BW29" i="2" s="1"/>
  <c r="D36" i="19"/>
  <c r="BX29" i="2" s="1"/>
  <c r="D30" i="6"/>
  <c r="E32"/>
  <c r="F32"/>
  <c r="D30" i="5"/>
  <c r="BF15" i="2" s="1"/>
  <c r="C73" i="4"/>
  <c r="E69"/>
  <c r="F69"/>
  <c r="CJ19" i="2"/>
  <c r="CI19"/>
  <c r="DB18"/>
  <c r="D68" i="5"/>
  <c r="C68"/>
  <c r="F72"/>
  <c r="E72"/>
  <c r="C42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7"/>
  <c r="D84"/>
  <c r="CU19" i="2"/>
  <c r="CV17"/>
  <c r="CV14"/>
  <c r="BT20"/>
  <c r="D66" i="15"/>
  <c r="F71"/>
  <c r="E71"/>
  <c r="C34" i="16"/>
  <c r="BT26" i="2" s="1"/>
  <c r="F70" i="7"/>
  <c r="E70"/>
  <c r="D66" i="11"/>
  <c r="D36" i="6"/>
  <c r="C36"/>
  <c r="BT16" i="2" s="1"/>
  <c r="F37" i="6"/>
  <c r="E37"/>
  <c r="D64" i="19"/>
  <c r="D31"/>
  <c r="C31"/>
  <c r="BK29" i="2" s="1"/>
  <c r="E46" i="19"/>
  <c r="C82" i="3"/>
  <c r="CM19" i="2"/>
  <c r="CL19"/>
  <c r="CM17"/>
  <c r="CL17"/>
  <c r="CJ17"/>
  <c r="CI17"/>
  <c r="D68" i="17"/>
  <c r="D65" i="16"/>
  <c r="D66" i="14"/>
  <c r="D63" i="13"/>
  <c r="D67" i="10"/>
  <c r="D66" i="8"/>
  <c r="D65" i="7"/>
  <c r="C58" i="17"/>
  <c r="D40" i="7"/>
  <c r="D54" i="19"/>
  <c r="CS14" i="2"/>
  <c r="D37" i="13"/>
  <c r="BV23" i="2"/>
  <c r="BV27"/>
  <c r="BV14"/>
  <c r="D82" i="18"/>
  <c r="CU17" i="2"/>
  <c r="CU14"/>
  <c r="D196" i="3"/>
  <c r="C196"/>
  <c r="D180"/>
  <c r="G180" s="1"/>
  <c r="E149"/>
  <c r="D93"/>
  <c r="C93"/>
  <c r="D91"/>
  <c r="C91"/>
  <c r="D82"/>
  <c r="F71" i="12"/>
  <c r="E71"/>
  <c r="CX19" i="2"/>
  <c r="AH28"/>
  <c r="BF17"/>
  <c r="BF19"/>
  <c r="BF20"/>
  <c r="BF21"/>
  <c r="BF24"/>
  <c r="BF26"/>
  <c r="BF27"/>
  <c r="BF28"/>
  <c r="C66" i="8"/>
  <c r="F71"/>
  <c r="E71"/>
  <c r="DL33" i="2"/>
  <c r="C67" i="9"/>
  <c r="C40"/>
  <c r="C66" i="12"/>
  <c r="E65" i="11"/>
  <c r="C66"/>
  <c r="C67" i="10"/>
  <c r="C65" i="7"/>
  <c r="C63" i="13"/>
  <c r="C68" i="17"/>
  <c r="C65" i="16"/>
  <c r="C66" i="15"/>
  <c r="C66" i="14"/>
  <c r="F71"/>
  <c r="E71"/>
  <c r="C64" i="19"/>
  <c r="D26"/>
  <c r="D71" i="7"/>
  <c r="D83" i="9"/>
  <c r="D26" i="6"/>
  <c r="E44" i="14"/>
  <c r="C200" i="3" l="1"/>
  <c r="D200"/>
  <c r="G200" s="1"/>
  <c r="G19" i="1"/>
  <c r="D19" s="1"/>
  <c r="E144" i="3"/>
  <c r="E98"/>
  <c r="G98"/>
  <c r="E91"/>
  <c r="G91"/>
  <c r="E172"/>
  <c r="G172"/>
  <c r="E190"/>
  <c r="G190"/>
  <c r="E82"/>
  <c r="G82"/>
  <c r="E93"/>
  <c r="G93"/>
  <c r="E180"/>
  <c r="F42" i="5"/>
  <c r="E42"/>
  <c r="D25" i="4"/>
  <c r="C25"/>
  <c r="CW17" i="2"/>
  <c r="CW14"/>
  <c r="D40" i="16"/>
  <c r="E200" i="3" l="1"/>
  <c r="C78"/>
  <c r="D34" i="15"/>
  <c r="D36" i="7"/>
  <c r="D34" i="11"/>
  <c r="D26"/>
  <c r="D14"/>
  <c r="DB26" i="2"/>
  <c r="AZ18"/>
  <c r="AW18"/>
  <c r="D78" i="3" l="1"/>
  <c r="C79"/>
  <c r="C34" i="11"/>
  <c r="BT21" i="2" s="1"/>
  <c r="C82" i="12"/>
  <c r="C40" i="17"/>
  <c r="D12" i="19"/>
  <c r="D79" i="3" l="1"/>
  <c r="E78"/>
  <c r="G78"/>
  <c r="D67" i="18"/>
  <c r="E41" i="13"/>
  <c r="D82" i="12"/>
  <c r="D64"/>
  <c r="D66" i="6"/>
  <c r="C66"/>
  <c r="E71"/>
  <c r="F71"/>
  <c r="G34" i="1" l="1"/>
  <c r="E49" i="9"/>
  <c r="D5" i="5"/>
  <c r="C29" i="12"/>
  <c r="M15" i="2"/>
  <c r="D12" i="7"/>
  <c r="CJ14" i="2"/>
  <c r="CY17"/>
  <c r="AZ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X17" i="2"/>
  <c r="C40" i="7"/>
  <c r="BW14" i="2"/>
  <c r="DB22"/>
  <c r="DB21"/>
  <c r="D41" i="12"/>
  <c r="E49"/>
  <c r="F49"/>
  <c r="D40" i="11"/>
  <c r="CY23" i="2" l="1"/>
  <c r="CY19"/>
  <c r="CY18"/>
  <c r="CY14" l="1"/>
  <c r="D41" i="10"/>
  <c r="D40" i="9"/>
  <c r="D40" i="8"/>
  <c r="D17" i="15"/>
  <c r="CY29" i="2"/>
  <c r="CX29"/>
  <c r="CY27"/>
  <c r="CY25"/>
  <c r="CY24"/>
  <c r="CY22"/>
  <c r="CY21"/>
  <c r="D41" i="15"/>
  <c r="D37" i="14"/>
  <c r="BX24" i="2" s="1"/>
  <c r="D41" i="14"/>
  <c r="D40" i="17"/>
  <c r="CX23" i="2"/>
  <c r="E9" i="12"/>
  <c r="F34" i="5" l="1"/>
  <c r="AK14" i="2"/>
  <c r="CX14"/>
  <c r="CZ14" s="1"/>
  <c r="CX27"/>
  <c r="CZ27" s="1"/>
  <c r="CX25"/>
  <c r="CZ25" s="1"/>
  <c r="CX24"/>
  <c r="CZ24" s="1"/>
  <c r="CX21"/>
  <c r="CZ21" s="1"/>
  <c r="CX18"/>
  <c r="CZ18" s="1"/>
  <c r="CY15"/>
  <c r="CX15"/>
  <c r="F79" i="13"/>
  <c r="F90" i="18"/>
  <c r="F52" i="17"/>
  <c r="C40" i="16"/>
  <c r="E40" s="1"/>
  <c r="E50" i="15"/>
  <c r="F50"/>
  <c r="C41" i="14"/>
  <c r="F41" s="1"/>
  <c r="E50"/>
  <c r="F50"/>
  <c r="E76" i="12"/>
  <c r="E73"/>
  <c r="E31"/>
  <c r="F31"/>
  <c r="D29"/>
  <c r="BF22" i="2" s="1"/>
  <c r="C40" i="11"/>
  <c r="E40" s="1"/>
  <c r="E49"/>
  <c r="F49"/>
  <c r="C41" i="10"/>
  <c r="F41" s="1"/>
  <c r="E81" i="9"/>
  <c r="E51"/>
  <c r="F51"/>
  <c r="E47" i="8"/>
  <c r="F47"/>
  <c r="E48"/>
  <c r="F48"/>
  <c r="E50"/>
  <c r="F50"/>
  <c r="C40"/>
  <c r="F40" s="1"/>
  <c r="F82" i="5"/>
  <c r="F77"/>
  <c r="C26"/>
  <c r="E49"/>
  <c r="F49"/>
  <c r="E48" i="12"/>
  <c r="F48"/>
  <c r="G24" i="1"/>
  <c r="C41" i="15"/>
  <c r="F41" s="1"/>
  <c r="E42"/>
  <c r="C37" i="13"/>
  <c r="C41" i="12"/>
  <c r="F42" i="10"/>
  <c r="E45"/>
  <c r="F45"/>
  <c r="E44" i="9"/>
  <c r="F44"/>
  <c r="E44" i="8"/>
  <c r="F44"/>
  <c r="E44" i="7"/>
  <c r="F44"/>
  <c r="E46" i="6"/>
  <c r="F46"/>
  <c r="E47"/>
  <c r="F47"/>
  <c r="E46" i="5"/>
  <c r="F46"/>
  <c r="CX22" i="2"/>
  <c r="CZ22" s="1"/>
  <c r="DB14"/>
  <c r="C55" i="7"/>
  <c r="G35" i="1"/>
  <c r="F35"/>
  <c r="G20"/>
  <c r="D20" s="1"/>
  <c r="D20" i="14"/>
  <c r="E75" i="11"/>
  <c r="E35" i="10"/>
  <c r="F35"/>
  <c r="E36"/>
  <c r="F36"/>
  <c r="D81" i="8"/>
  <c r="ER18" i="2" s="1"/>
  <c r="C77" i="8"/>
  <c r="EN18" i="2" s="1"/>
  <c r="C72" i="8"/>
  <c r="EK18" i="2" s="1"/>
  <c r="E35" i="11"/>
  <c r="F35"/>
  <c r="E34"/>
  <c r="F34"/>
  <c r="E33"/>
  <c r="C7" i="8"/>
  <c r="D7" i="5"/>
  <c r="C52" i="4"/>
  <c r="BU21" i="2"/>
  <c r="BV21" s="1"/>
  <c r="D96" i="12"/>
  <c r="EX22" i="2" s="1"/>
  <c r="F35" i="16"/>
  <c r="E35"/>
  <c r="E34"/>
  <c r="D12" i="13"/>
  <c r="D5"/>
  <c r="D78"/>
  <c r="ER23" i="2" s="1"/>
  <c r="EO23"/>
  <c r="D61" i="13"/>
  <c r="D69"/>
  <c r="EL23" i="2" s="1"/>
  <c r="D24" i="13"/>
  <c r="AW27" i="2"/>
  <c r="AW25"/>
  <c r="AW19"/>
  <c r="AX19" s="1"/>
  <c r="AW17"/>
  <c r="AZ29"/>
  <c r="BA29" s="1"/>
  <c r="CA32"/>
  <c r="CA33" s="1"/>
  <c r="E88" i="16"/>
  <c r="C81" i="14"/>
  <c r="EQ24" i="2" s="1"/>
  <c r="E15" i="14"/>
  <c r="C74" i="13"/>
  <c r="EN23" i="2" s="1"/>
  <c r="E43" i="10"/>
  <c r="F43"/>
  <c r="BU19" i="2"/>
  <c r="F76" i="9"/>
  <c r="F35"/>
  <c r="E35"/>
  <c r="D34"/>
  <c r="C34"/>
  <c r="BT19" i="2" s="1"/>
  <c r="E36" i="18"/>
  <c r="F36"/>
  <c r="E48" i="16"/>
  <c r="F48"/>
  <c r="E46"/>
  <c r="E47"/>
  <c r="E42"/>
  <c r="F42"/>
  <c r="C34" i="15"/>
  <c r="BT25" i="2" s="1"/>
  <c r="E36" i="15"/>
  <c r="F36"/>
  <c r="BU25" i="2"/>
  <c r="E70" i="14"/>
  <c r="D34"/>
  <c r="BU24" i="2" s="1"/>
  <c r="BV24" s="1"/>
  <c r="C34" i="14"/>
  <c r="E36" i="12"/>
  <c r="F36"/>
  <c r="C35"/>
  <c r="BT22" i="2" s="1"/>
  <c r="E42" i="11"/>
  <c r="F42"/>
  <c r="E42" i="8"/>
  <c r="F42"/>
  <c r="E86" i="7"/>
  <c r="BX17" i="2"/>
  <c r="E42" i="7"/>
  <c r="F42"/>
  <c r="E57" i="6"/>
  <c r="F57"/>
  <c r="E50"/>
  <c r="E61" i="5"/>
  <c r="E62"/>
  <c r="E63"/>
  <c r="C5"/>
  <c r="C7"/>
  <c r="E29"/>
  <c r="E31"/>
  <c r="F28"/>
  <c r="E28"/>
  <c r="E45" i="4"/>
  <c r="DT14" i="2"/>
  <c r="DW29"/>
  <c r="DW24"/>
  <c r="DW22"/>
  <c r="DW21"/>
  <c r="DW18"/>
  <c r="DW16"/>
  <c r="DW14"/>
  <c r="D17" i="12"/>
  <c r="D5" i="8"/>
  <c r="D5" i="6"/>
  <c r="D56" i="12"/>
  <c r="D35"/>
  <c r="BU22" i="2" s="1"/>
  <c r="CY26"/>
  <c r="CX26"/>
  <c r="CY28"/>
  <c r="D78" i="18"/>
  <c r="EO28" i="2" s="1"/>
  <c r="D41" i="18"/>
  <c r="E51"/>
  <c r="F51"/>
  <c r="BU17" i="2"/>
  <c r="BT17"/>
  <c r="G15" i="1"/>
  <c r="D15" s="1"/>
  <c r="D62" i="19"/>
  <c r="EF29" i="2" s="1"/>
  <c r="D39" i="19"/>
  <c r="D35" i="18"/>
  <c r="BU28" i="2" s="1"/>
  <c r="BU20"/>
  <c r="BV20" s="1"/>
  <c r="D88" i="14"/>
  <c r="EX24" i="2" s="1"/>
  <c r="D36" i="8"/>
  <c r="BX18" i="2" s="1"/>
  <c r="E27" i="19"/>
  <c r="E56" i="16"/>
  <c r="E57"/>
  <c r="E58"/>
  <c r="E59"/>
  <c r="AW29" i="2"/>
  <c r="AW14"/>
  <c r="CR18"/>
  <c r="AY17"/>
  <c r="AG24"/>
  <c r="G37" i="1"/>
  <c r="D37" s="1"/>
  <c r="EI18" i="2"/>
  <c r="EH18"/>
  <c r="C14" i="14"/>
  <c r="F15" s="1"/>
  <c r="F35" i="15"/>
  <c r="E35"/>
  <c r="CO16" i="2"/>
  <c r="CO29"/>
  <c r="CO28"/>
  <c r="CO27"/>
  <c r="CO26"/>
  <c r="CO25"/>
  <c r="CO24"/>
  <c r="CO23"/>
  <c r="CO22"/>
  <c r="CO21"/>
  <c r="CO20"/>
  <c r="CO19"/>
  <c r="CO18"/>
  <c r="CO17"/>
  <c r="CO15"/>
  <c r="CO14"/>
  <c r="L29"/>
  <c r="V25"/>
  <c r="AT25"/>
  <c r="AU25" s="1"/>
  <c r="CV28"/>
  <c r="CV26"/>
  <c r="CV25"/>
  <c r="CV24"/>
  <c r="CV23"/>
  <c r="CV22"/>
  <c r="CV16"/>
  <c r="BK14"/>
  <c r="BE28"/>
  <c r="BE27"/>
  <c r="BE24"/>
  <c r="BG24" s="1"/>
  <c r="BE21"/>
  <c r="BE20"/>
  <c r="BE19"/>
  <c r="BE17"/>
  <c r="BG17" s="1"/>
  <c r="BE15"/>
  <c r="BE26"/>
  <c r="AY24"/>
  <c r="AW26"/>
  <c r="AW24"/>
  <c r="AW22"/>
  <c r="AW16"/>
  <c r="AW15"/>
  <c r="D88" i="15"/>
  <c r="EX25" i="2" s="1"/>
  <c r="D20" i="12"/>
  <c r="AQ22" i="2" s="1"/>
  <c r="AR22" s="1"/>
  <c r="C20" i="12"/>
  <c r="D26" i="5"/>
  <c r="AV27" i="2"/>
  <c r="CU28"/>
  <c r="CU26"/>
  <c r="CI26"/>
  <c r="CU24"/>
  <c r="CU23"/>
  <c r="CU22"/>
  <c r="CU16"/>
  <c r="D70" i="19"/>
  <c r="EL29" i="2" s="1"/>
  <c r="D63" i="16"/>
  <c r="D55"/>
  <c r="D76"/>
  <c r="D71"/>
  <c r="EL26" i="2" s="1"/>
  <c r="EI25"/>
  <c r="D7" i="7"/>
  <c r="F40"/>
  <c r="D26"/>
  <c r="D17" i="5"/>
  <c r="EL14" i="2"/>
  <c r="DW20"/>
  <c r="DW17"/>
  <c r="D5" i="15"/>
  <c r="D5" i="9"/>
  <c r="C35" i="18"/>
  <c r="BT28" i="2" s="1"/>
  <c r="C34" i="8"/>
  <c r="BT18" i="2" s="1"/>
  <c r="AV18"/>
  <c r="AZ19"/>
  <c r="AY18"/>
  <c r="F20" i="1"/>
  <c r="C20" s="1"/>
  <c r="EF22" i="2"/>
  <c r="AW21"/>
  <c r="D66" i="17"/>
  <c r="D56" i="15"/>
  <c r="D37" i="12"/>
  <c r="BX22" i="2" s="1"/>
  <c r="E15" i="5"/>
  <c r="E16"/>
  <c r="G9" i="1"/>
  <c r="D9" s="1"/>
  <c r="BK22" i="2"/>
  <c r="M14"/>
  <c r="M16"/>
  <c r="M17"/>
  <c r="M18"/>
  <c r="M19"/>
  <c r="M20"/>
  <c r="M21"/>
  <c r="M22"/>
  <c r="M23"/>
  <c r="M24"/>
  <c r="M25"/>
  <c r="M26"/>
  <c r="M27"/>
  <c r="M28"/>
  <c r="M29"/>
  <c r="BO18"/>
  <c r="BO31" s="1"/>
  <c r="BO32" s="1"/>
  <c r="BO33" s="1"/>
  <c r="BP18"/>
  <c r="BQ18"/>
  <c r="BR18"/>
  <c r="BS18"/>
  <c r="EI24"/>
  <c r="D5" i="14"/>
  <c r="D65" i="18"/>
  <c r="EF28" i="2" s="1"/>
  <c r="D12" i="5"/>
  <c r="E48"/>
  <c r="F48"/>
  <c r="C74"/>
  <c r="L14" i="2"/>
  <c r="AV26"/>
  <c r="AV25"/>
  <c r="AV24"/>
  <c r="AV22"/>
  <c r="AV17"/>
  <c r="AV14"/>
  <c r="AY26"/>
  <c r="AY22"/>
  <c r="AY21"/>
  <c r="G11" i="1"/>
  <c r="D11" s="1"/>
  <c r="G5"/>
  <c r="D5" s="1"/>
  <c r="G40"/>
  <c r="C96" i="12"/>
  <c r="EW22" i="2" s="1"/>
  <c r="D7" i="16"/>
  <c r="E42" i="9"/>
  <c r="F42"/>
  <c r="EX14" i="2"/>
  <c r="ER14"/>
  <c r="EN14"/>
  <c r="EH14"/>
  <c r="D52" i="4"/>
  <c r="D36" i="16"/>
  <c r="G43" i="1"/>
  <c r="D17" i="19"/>
  <c r="D33" i="5"/>
  <c r="BL15" i="2" s="1"/>
  <c r="D64" i="11"/>
  <c r="D56"/>
  <c r="DQ21" i="2" s="1"/>
  <c r="D87" i="7"/>
  <c r="EX17" i="2" s="1"/>
  <c r="D82" i="7"/>
  <c r="EU17" i="2" s="1"/>
  <c r="D80" i="7"/>
  <c r="ER17" i="2" s="1"/>
  <c r="D76" i="7"/>
  <c r="EO17" i="2" s="1"/>
  <c r="EI17"/>
  <c r="D63" i="7"/>
  <c r="D55"/>
  <c r="D65" i="10"/>
  <c r="AY28" i="2"/>
  <c r="AY27"/>
  <c r="AY25"/>
  <c r="AY23"/>
  <c r="AY20"/>
  <c r="AY16"/>
  <c r="AY15"/>
  <c r="AY14"/>
  <c r="AV28"/>
  <c r="AV23"/>
  <c r="AV20"/>
  <c r="D7" i="13"/>
  <c r="D14"/>
  <c r="C14" i="12"/>
  <c r="AE14" i="2"/>
  <c r="AE15"/>
  <c r="AE16"/>
  <c r="AE18"/>
  <c r="AE20"/>
  <c r="AE21"/>
  <c r="AE22"/>
  <c r="AE23"/>
  <c r="AE24"/>
  <c r="AE25"/>
  <c r="AE26"/>
  <c r="AE27"/>
  <c r="AE28"/>
  <c r="AE29"/>
  <c r="EB16"/>
  <c r="CV29"/>
  <c r="CU29"/>
  <c r="DT24"/>
  <c r="DT25"/>
  <c r="DT23"/>
  <c r="DT22"/>
  <c r="DT26"/>
  <c r="DT21"/>
  <c r="DT20"/>
  <c r="DT29"/>
  <c r="DT28"/>
  <c r="DT27"/>
  <c r="DT19"/>
  <c r="DT18"/>
  <c r="DT17"/>
  <c r="DT16"/>
  <c r="DT15"/>
  <c r="DV17"/>
  <c r="G31" i="1"/>
  <c r="D31" s="1"/>
  <c r="D26" i="16"/>
  <c r="D57" i="9"/>
  <c r="AJ23" i="2"/>
  <c r="L23"/>
  <c r="R23"/>
  <c r="L24"/>
  <c r="AJ24"/>
  <c r="AW28"/>
  <c r="AW23"/>
  <c r="AW20"/>
  <c r="AV21"/>
  <c r="AV15"/>
  <c r="E43" i="14"/>
  <c r="F43"/>
  <c r="C26" i="6"/>
  <c r="C66" i="5"/>
  <c r="DK23" i="2"/>
  <c r="DK31" s="1"/>
  <c r="D79" i="17"/>
  <c r="EO27" i="2" s="1"/>
  <c r="D78" i="12"/>
  <c r="D73" i="9"/>
  <c r="G12" i="1"/>
  <c r="D12" s="1"/>
  <c r="C90" i="17"/>
  <c r="EW27" i="2" s="1"/>
  <c r="DV14"/>
  <c r="D26" i="17"/>
  <c r="D32" i="18"/>
  <c r="BL28" i="2" s="1"/>
  <c r="C78" i="13"/>
  <c r="EQ23" i="2" s="1"/>
  <c r="C26" i="11"/>
  <c r="C26" i="8"/>
  <c r="C33" i="6"/>
  <c r="E67" i="18"/>
  <c r="C64" i="15"/>
  <c r="C81" i="8"/>
  <c r="E83"/>
  <c r="F83"/>
  <c r="CM23" i="2"/>
  <c r="CL23"/>
  <c r="F39" i="13"/>
  <c r="F40"/>
  <c r="E39"/>
  <c r="E40"/>
  <c r="CM27" i="2"/>
  <c r="CL27"/>
  <c r="F42" i="17"/>
  <c r="E42"/>
  <c r="CV27" i="2"/>
  <c r="D7" i="10"/>
  <c r="D7" i="8"/>
  <c r="C29" i="13"/>
  <c r="ER22" i="2"/>
  <c r="EQ22"/>
  <c r="D95" i="8"/>
  <c r="FA18" i="2" s="1"/>
  <c r="D64" i="6"/>
  <c r="D66" i="5"/>
  <c r="CU27" i="2"/>
  <c r="D81" i="11"/>
  <c r="ER21" i="2" s="1"/>
  <c r="D65" i="9"/>
  <c r="F45" i="17"/>
  <c r="F46"/>
  <c r="F48"/>
  <c r="F49"/>
  <c r="F50"/>
  <c r="F51"/>
  <c r="E45"/>
  <c r="E46"/>
  <c r="E48"/>
  <c r="E49"/>
  <c r="E50"/>
  <c r="E51"/>
  <c r="D17" i="18"/>
  <c r="CV21" i="2"/>
  <c r="E75" i="12"/>
  <c r="F75"/>
  <c r="CU21" i="2"/>
  <c r="CU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40" i="1"/>
  <c r="F39"/>
  <c r="G38"/>
  <c r="F38"/>
  <c r="F34"/>
  <c r="G32"/>
  <c r="D32" s="1"/>
  <c r="F31"/>
  <c r="F6"/>
  <c r="C6" s="1"/>
  <c r="D12" i="6"/>
  <c r="C91" i="9"/>
  <c r="EI27" i="2"/>
  <c r="F78" i="11"/>
  <c r="F79"/>
  <c r="E78"/>
  <c r="E79"/>
  <c r="D91" i="9"/>
  <c r="F87"/>
  <c r="F88"/>
  <c r="F89"/>
  <c r="F90"/>
  <c r="F92"/>
  <c r="E87"/>
  <c r="E88"/>
  <c r="E89"/>
  <c r="E90"/>
  <c r="E92"/>
  <c r="G6" i="1"/>
  <c r="D6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F27"/>
  <c r="E28"/>
  <c r="F28"/>
  <c r="C29"/>
  <c r="D29"/>
  <c r="E30"/>
  <c r="F30"/>
  <c r="E32"/>
  <c r="F32"/>
  <c r="E33"/>
  <c r="F33"/>
  <c r="BT29" i="2"/>
  <c r="BU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I29" i="2"/>
  <c r="E65" i="19"/>
  <c r="F65"/>
  <c r="E66"/>
  <c r="F66"/>
  <c r="E67"/>
  <c r="F67"/>
  <c r="E68"/>
  <c r="F68"/>
  <c r="E71"/>
  <c r="F71"/>
  <c r="E72"/>
  <c r="F72"/>
  <c r="E74"/>
  <c r="F74"/>
  <c r="D75"/>
  <c r="EO29" i="2" s="1"/>
  <c r="E76" i="19"/>
  <c r="F76"/>
  <c r="E77"/>
  <c r="F77"/>
  <c r="E78"/>
  <c r="C79"/>
  <c r="D79"/>
  <c r="ER29" i="2" s="1"/>
  <c r="E80" i="19"/>
  <c r="F80"/>
  <c r="C81"/>
  <c r="ET29" i="2" s="1"/>
  <c r="D81" i="19"/>
  <c r="EU29" i="2" s="1"/>
  <c r="E82" i="19"/>
  <c r="F82"/>
  <c r="E83"/>
  <c r="F83"/>
  <c r="E84"/>
  <c r="F84"/>
  <c r="F85"/>
  <c r="C86"/>
  <c r="D86"/>
  <c r="EX29" i="2" s="1"/>
  <c r="E87" i="19"/>
  <c r="F87"/>
  <c r="E88"/>
  <c r="F88"/>
  <c r="E89"/>
  <c r="E90"/>
  <c r="E91"/>
  <c r="C92"/>
  <c r="D92"/>
  <c r="FA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BK28" i="2" s="1"/>
  <c r="E33" i="18"/>
  <c r="F33"/>
  <c r="E34"/>
  <c r="F34"/>
  <c r="C37"/>
  <c r="BW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L28" i="2"/>
  <c r="E75" i="18"/>
  <c r="F75"/>
  <c r="E76"/>
  <c r="F76"/>
  <c r="C78"/>
  <c r="E79"/>
  <c r="F79"/>
  <c r="E80"/>
  <c r="F80"/>
  <c r="E81"/>
  <c r="F81"/>
  <c r="C82"/>
  <c r="EQ28" i="2" s="1"/>
  <c r="E83" i="18"/>
  <c r="F83"/>
  <c r="C84"/>
  <c r="ET28" i="2" s="1"/>
  <c r="D84" i="18"/>
  <c r="EU28" i="2" s="1"/>
  <c r="E85" i="18"/>
  <c r="F85"/>
  <c r="E86"/>
  <c r="F86"/>
  <c r="E87"/>
  <c r="F87"/>
  <c r="F88"/>
  <c r="D89"/>
  <c r="EX28" i="2" s="1"/>
  <c r="E90" i="18"/>
  <c r="E91"/>
  <c r="F91"/>
  <c r="E92"/>
  <c r="E93"/>
  <c r="E94"/>
  <c r="C95"/>
  <c r="EZ28" i="2" s="1"/>
  <c r="D95" i="18"/>
  <c r="FA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L27" i="2" s="1"/>
  <c r="C26" i="17"/>
  <c r="E27"/>
  <c r="F27"/>
  <c r="E28"/>
  <c r="F28"/>
  <c r="C29"/>
  <c r="E30"/>
  <c r="F30"/>
  <c r="C31"/>
  <c r="BK27" i="2" s="1"/>
  <c r="E32" i="17"/>
  <c r="F32"/>
  <c r="E33"/>
  <c r="F33"/>
  <c r="C36"/>
  <c r="BW27" i="2" s="1"/>
  <c r="D36" i="17"/>
  <c r="BX27" i="2" s="1"/>
  <c r="E37" i="17"/>
  <c r="F37"/>
  <c r="E38"/>
  <c r="F38"/>
  <c r="F41"/>
  <c r="E43"/>
  <c r="F43"/>
  <c r="E44"/>
  <c r="F44"/>
  <c r="C47"/>
  <c r="D47"/>
  <c r="D58"/>
  <c r="E60"/>
  <c r="F60"/>
  <c r="F61"/>
  <c r="E62"/>
  <c r="F62"/>
  <c r="E63"/>
  <c r="F63"/>
  <c r="E64"/>
  <c r="F64"/>
  <c r="E65"/>
  <c r="F65"/>
  <c r="C66"/>
  <c r="E67"/>
  <c r="F67"/>
  <c r="E69"/>
  <c r="F69"/>
  <c r="E70"/>
  <c r="F70"/>
  <c r="E71"/>
  <c r="F71"/>
  <c r="E72"/>
  <c r="F72"/>
  <c r="D74"/>
  <c r="EL27" i="2" s="1"/>
  <c r="E76" i="17"/>
  <c r="F76"/>
  <c r="E77"/>
  <c r="F77"/>
  <c r="E78"/>
  <c r="F78"/>
  <c r="C79"/>
  <c r="E80"/>
  <c r="F80"/>
  <c r="E81"/>
  <c r="F81"/>
  <c r="E82"/>
  <c r="F82"/>
  <c r="D83"/>
  <c r="C85"/>
  <c r="D85"/>
  <c r="EU27" i="2" s="1"/>
  <c r="E86" i="17"/>
  <c r="F86"/>
  <c r="E87"/>
  <c r="F87"/>
  <c r="E88"/>
  <c r="F88"/>
  <c r="F89"/>
  <c r="D90"/>
  <c r="EX27" i="2" s="1"/>
  <c r="F91" i="17"/>
  <c r="E92"/>
  <c r="F92"/>
  <c r="E93"/>
  <c r="E94"/>
  <c r="E95"/>
  <c r="C96"/>
  <c r="EZ27" i="2" s="1"/>
  <c r="D96" i="17"/>
  <c r="FA27" i="2" s="1"/>
  <c r="E97" i="17"/>
  <c r="F97"/>
  <c r="E98"/>
  <c r="F98"/>
  <c r="E99"/>
  <c r="F99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L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N26" i="2" s="1"/>
  <c r="E77" i="16"/>
  <c r="F77"/>
  <c r="E78"/>
  <c r="F78"/>
  <c r="E79"/>
  <c r="F79"/>
  <c r="C80"/>
  <c r="EQ26" i="2" s="1"/>
  <c r="D80" i="16"/>
  <c r="ER26" i="2" s="1"/>
  <c r="E81" i="16"/>
  <c r="F81"/>
  <c r="C82"/>
  <c r="ET26" i="2" s="1"/>
  <c r="D82" i="16"/>
  <c r="E83"/>
  <c r="F83"/>
  <c r="E84"/>
  <c r="F84"/>
  <c r="E85"/>
  <c r="F85"/>
  <c r="F86"/>
  <c r="C87"/>
  <c r="EW26" i="2" s="1"/>
  <c r="D87" i="16"/>
  <c r="F88"/>
  <c r="E89"/>
  <c r="F89"/>
  <c r="E90"/>
  <c r="E91"/>
  <c r="E92"/>
  <c r="C93"/>
  <c r="EZ26" i="2" s="1"/>
  <c r="D93" i="16"/>
  <c r="FA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BE25" i="2" s="1"/>
  <c r="D29" i="15"/>
  <c r="BF25" i="2" s="1"/>
  <c r="E30" i="15"/>
  <c r="F30"/>
  <c r="C31"/>
  <c r="BK25" i="2" s="1"/>
  <c r="D31" i="15"/>
  <c r="BL25" i="2" s="1"/>
  <c r="E32" i="15"/>
  <c r="F32"/>
  <c r="E33"/>
  <c r="F33"/>
  <c r="C37"/>
  <c r="D37"/>
  <c r="BX25" i="2" s="1"/>
  <c r="E38" i="15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L25" i="2" s="1"/>
  <c r="E73" i="15"/>
  <c r="F73"/>
  <c r="E74"/>
  <c r="F74"/>
  <c r="F75"/>
  <c r="E76"/>
  <c r="F76"/>
  <c r="EO25" i="2"/>
  <c r="E78" i="15"/>
  <c r="F78"/>
  <c r="E79"/>
  <c r="F79"/>
  <c r="C81"/>
  <c r="EQ25" i="2" s="1"/>
  <c r="D81" i="15"/>
  <c r="ER25" i="2" s="1"/>
  <c r="E82" i="15"/>
  <c r="F82"/>
  <c r="C83"/>
  <c r="ET25" i="2" s="1"/>
  <c r="D83" i="15"/>
  <c r="C88"/>
  <c r="EW25" i="2" s="1"/>
  <c r="E89" i="15"/>
  <c r="F89"/>
  <c r="E90"/>
  <c r="F90"/>
  <c r="E91"/>
  <c r="E92"/>
  <c r="E93"/>
  <c r="C94"/>
  <c r="EZ25" i="2" s="1"/>
  <c r="D94" i="15"/>
  <c r="FA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L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H24" i="2"/>
  <c r="E67" i="14"/>
  <c r="F67"/>
  <c r="E68"/>
  <c r="F68"/>
  <c r="E69"/>
  <c r="F69"/>
  <c r="F70"/>
  <c r="D72"/>
  <c r="EL24" i="2" s="1"/>
  <c r="E73" i="14"/>
  <c r="F73"/>
  <c r="E74"/>
  <c r="F74"/>
  <c r="E75"/>
  <c r="E76"/>
  <c r="F76"/>
  <c r="D77"/>
  <c r="EO24" i="2" s="1"/>
  <c r="E79" i="14"/>
  <c r="F79"/>
  <c r="E80"/>
  <c r="F80"/>
  <c r="ER24" i="2"/>
  <c r="E82" i="14"/>
  <c r="F82"/>
  <c r="C83"/>
  <c r="ET24" i="2" s="1"/>
  <c r="D83" i="14"/>
  <c r="EU24" i="2" s="1"/>
  <c r="E84" i="14"/>
  <c r="F84"/>
  <c r="E85"/>
  <c r="F85"/>
  <c r="E86"/>
  <c r="F86"/>
  <c r="F87"/>
  <c r="C88"/>
  <c r="EW24" i="2" s="1"/>
  <c r="E89" i="14"/>
  <c r="F89"/>
  <c r="E90"/>
  <c r="F90"/>
  <c r="E91"/>
  <c r="E92"/>
  <c r="E93"/>
  <c r="C94"/>
  <c r="D94"/>
  <c r="FA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BE23" i="2" s="1"/>
  <c r="D27" i="13"/>
  <c r="E28"/>
  <c r="F28"/>
  <c r="D29"/>
  <c r="E30"/>
  <c r="F30"/>
  <c r="E31"/>
  <c r="F31"/>
  <c r="C33"/>
  <c r="BW23" i="2" s="1"/>
  <c r="D33" i="13"/>
  <c r="E34"/>
  <c r="F34"/>
  <c r="E35"/>
  <c r="F35"/>
  <c r="E38"/>
  <c r="F38"/>
  <c r="F41"/>
  <c r="E42"/>
  <c r="F42"/>
  <c r="E43"/>
  <c r="F43"/>
  <c r="E44"/>
  <c r="F44"/>
  <c r="F45"/>
  <c r="E46"/>
  <c r="F46"/>
  <c r="C53"/>
  <c r="E55"/>
  <c r="F55"/>
  <c r="F56"/>
  <c r="E57"/>
  <c r="F57"/>
  <c r="E58"/>
  <c r="F58"/>
  <c r="E59"/>
  <c r="F59"/>
  <c r="E60"/>
  <c r="F60"/>
  <c r="C61"/>
  <c r="E62"/>
  <c r="F62"/>
  <c r="EH23" i="2"/>
  <c r="EI23"/>
  <c r="E64" i="13"/>
  <c r="F64"/>
  <c r="E65"/>
  <c r="F65"/>
  <c r="E66"/>
  <c r="F66"/>
  <c r="E67"/>
  <c r="F67"/>
  <c r="C69"/>
  <c r="E71"/>
  <c r="F71"/>
  <c r="E72"/>
  <c r="F72"/>
  <c r="E73"/>
  <c r="F73"/>
  <c r="E75"/>
  <c r="F75"/>
  <c r="E76"/>
  <c r="F76"/>
  <c r="E77"/>
  <c r="F77"/>
  <c r="E79"/>
  <c r="C80"/>
  <c r="ET23" i="2" s="1"/>
  <c r="D80" i="13"/>
  <c r="E81"/>
  <c r="F81"/>
  <c r="E82"/>
  <c r="F82"/>
  <c r="E83"/>
  <c r="F83"/>
  <c r="F84"/>
  <c r="C85"/>
  <c r="EW23" i="2" s="1"/>
  <c r="D85" i="13"/>
  <c r="EX23" i="2" s="1"/>
  <c r="E86" i="13"/>
  <c r="F86"/>
  <c r="E87"/>
  <c r="F87"/>
  <c r="E88"/>
  <c r="E89"/>
  <c r="E90"/>
  <c r="C91"/>
  <c r="EZ23" i="2" s="1"/>
  <c r="D91" i="13"/>
  <c r="FA23" i="2" s="1"/>
  <c r="E92" i="13"/>
  <c r="F92"/>
  <c r="E93"/>
  <c r="F93"/>
  <c r="E94"/>
  <c r="F94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BE22" i="2"/>
  <c r="E30" i="12"/>
  <c r="F30"/>
  <c r="C32"/>
  <c r="D32"/>
  <c r="BL22" i="2" s="1"/>
  <c r="E33" i="12"/>
  <c r="F33"/>
  <c r="E34"/>
  <c r="F34"/>
  <c r="C37"/>
  <c r="BW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H22" i="2"/>
  <c r="EI22"/>
  <c r="E67" i="12"/>
  <c r="F67"/>
  <c r="E68"/>
  <c r="F68"/>
  <c r="E69"/>
  <c r="F69"/>
  <c r="E70"/>
  <c r="F70"/>
  <c r="D72"/>
  <c r="EL22" i="2" s="1"/>
  <c r="F73" i="12"/>
  <c r="E74"/>
  <c r="F74"/>
  <c r="F76"/>
  <c r="F77"/>
  <c r="C78"/>
  <c r="EN22" i="2" s="1"/>
  <c r="E79" i="12"/>
  <c r="F79"/>
  <c r="E80"/>
  <c r="F80"/>
  <c r="E81"/>
  <c r="F81"/>
  <c r="E83"/>
  <c r="F83"/>
  <c r="C84"/>
  <c r="ET22" i="2" s="1"/>
  <c r="D84" i="12"/>
  <c r="EU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Q21" i="2" s="1"/>
  <c r="E21" i="11"/>
  <c r="F21"/>
  <c r="E22"/>
  <c r="F22"/>
  <c r="E23"/>
  <c r="F23"/>
  <c r="E24"/>
  <c r="F24"/>
  <c r="D36"/>
  <c r="BX21" i="2" s="1"/>
  <c r="E27" i="11"/>
  <c r="F27"/>
  <c r="E28"/>
  <c r="F28"/>
  <c r="C29"/>
  <c r="D29"/>
  <c r="E30"/>
  <c r="F30"/>
  <c r="C31"/>
  <c r="BK21" i="2" s="1"/>
  <c r="D31" i="11"/>
  <c r="BL21" i="2" s="1"/>
  <c r="E32" i="11"/>
  <c r="F32"/>
  <c r="F33"/>
  <c r="C36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H21" i="2"/>
  <c r="E67" i="11"/>
  <c r="F67"/>
  <c r="E68"/>
  <c r="F68"/>
  <c r="E69"/>
  <c r="F69"/>
  <c r="E70"/>
  <c r="F70"/>
  <c r="D72"/>
  <c r="EL21" i="2" s="1"/>
  <c r="E74" i="11"/>
  <c r="F74"/>
  <c r="E76"/>
  <c r="F76"/>
  <c r="C77"/>
  <c r="EN21" i="2" s="1"/>
  <c r="D77" i="11"/>
  <c r="E80"/>
  <c r="F80"/>
  <c r="F82"/>
  <c r="C83"/>
  <c r="ET21" i="2" s="1"/>
  <c r="D83" i="11"/>
  <c r="E84"/>
  <c r="F84"/>
  <c r="E85"/>
  <c r="F85"/>
  <c r="E86"/>
  <c r="F86"/>
  <c r="F87"/>
  <c r="C88"/>
  <c r="EW21" i="2" s="1"/>
  <c r="D88" i="11"/>
  <c r="EX21" i="2" s="1"/>
  <c r="E89" i="11"/>
  <c r="F89"/>
  <c r="E90"/>
  <c r="F90"/>
  <c r="E91"/>
  <c r="E92"/>
  <c r="E93"/>
  <c r="C94"/>
  <c r="EZ21" i="2" s="1"/>
  <c r="D94" i="11"/>
  <c r="FA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30"/>
  <c r="D30"/>
  <c r="E31"/>
  <c r="F31"/>
  <c r="C32"/>
  <c r="D32"/>
  <c r="BL20" i="2" s="1"/>
  <c r="E33" i="10"/>
  <c r="F33"/>
  <c r="E34"/>
  <c r="F34"/>
  <c r="C37"/>
  <c r="BW20" i="2" s="1"/>
  <c r="D37" i="10"/>
  <c r="BX20" i="2" s="1"/>
  <c r="E38" i="10"/>
  <c r="F38"/>
  <c r="E39"/>
  <c r="F39"/>
  <c r="E42"/>
  <c r="E44"/>
  <c r="F44"/>
  <c r="E46"/>
  <c r="F46"/>
  <c r="E47"/>
  <c r="F47"/>
  <c r="E48"/>
  <c r="F48"/>
  <c r="E49"/>
  <c r="F49"/>
  <c r="F50"/>
  <c r="E51"/>
  <c r="F51"/>
  <c r="C57"/>
  <c r="D57"/>
  <c r="E59"/>
  <c r="F59"/>
  <c r="F60"/>
  <c r="E61"/>
  <c r="F61"/>
  <c r="E62"/>
  <c r="F62"/>
  <c r="E63"/>
  <c r="F63"/>
  <c r="E64"/>
  <c r="F64"/>
  <c r="C65"/>
  <c r="E66"/>
  <c r="F66"/>
  <c r="EH20" i="2"/>
  <c r="EI20"/>
  <c r="E68" i="10"/>
  <c r="F68"/>
  <c r="E69"/>
  <c r="F69"/>
  <c r="E70"/>
  <c r="F70"/>
  <c r="E71"/>
  <c r="F71"/>
  <c r="D73"/>
  <c r="E74"/>
  <c r="F74"/>
  <c r="E75"/>
  <c r="E76"/>
  <c r="F76"/>
  <c r="E77"/>
  <c r="F77"/>
  <c r="C78"/>
  <c r="EN20" i="2" s="1"/>
  <c r="D78" i="10"/>
  <c r="E79"/>
  <c r="F79"/>
  <c r="E80"/>
  <c r="F80"/>
  <c r="E81"/>
  <c r="F81"/>
  <c r="E82"/>
  <c r="F82"/>
  <c r="C83"/>
  <c r="D83"/>
  <c r="ER20" i="2" s="1"/>
  <c r="E84" i="10"/>
  <c r="F84"/>
  <c r="C85"/>
  <c r="ET20" i="2" s="1"/>
  <c r="D85" i="10"/>
  <c r="EU20" i="2" s="1"/>
  <c r="E86" i="10"/>
  <c r="F86"/>
  <c r="E87"/>
  <c r="F87"/>
  <c r="E88"/>
  <c r="F88"/>
  <c r="F89"/>
  <c r="C90"/>
  <c r="EW20" i="2" s="1"/>
  <c r="D90" i="10"/>
  <c r="EX20" i="2" s="1"/>
  <c r="E91" i="10"/>
  <c r="F91"/>
  <c r="E92"/>
  <c r="F92"/>
  <c r="E93"/>
  <c r="E94"/>
  <c r="E95"/>
  <c r="C96"/>
  <c r="EZ20" i="2" s="1"/>
  <c r="D96" i="10"/>
  <c r="E97"/>
  <c r="F97"/>
  <c r="E98"/>
  <c r="F98"/>
  <c r="E99"/>
  <c r="F99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BK19" i="2" s="1"/>
  <c r="D31" i="9"/>
  <c r="BL19" i="2" s="1"/>
  <c r="E32" i="9"/>
  <c r="F32"/>
  <c r="E33"/>
  <c r="F33"/>
  <c r="C36"/>
  <c r="BW19" i="2" s="1"/>
  <c r="D36" i="9"/>
  <c r="BX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H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O19" i="2" s="1"/>
  <c r="E79" i="9"/>
  <c r="F79"/>
  <c r="E80"/>
  <c r="F80"/>
  <c r="F81"/>
  <c r="E82"/>
  <c r="F82"/>
  <c r="C83"/>
  <c r="EQ19" i="2" s="1"/>
  <c r="E84" i="9"/>
  <c r="F84"/>
  <c r="E85"/>
  <c r="F85"/>
  <c r="C86"/>
  <c r="D86"/>
  <c r="C93"/>
  <c r="D93"/>
  <c r="EX19" i="2" s="1"/>
  <c r="E94" i="9"/>
  <c r="F94"/>
  <c r="E95"/>
  <c r="F95"/>
  <c r="E96"/>
  <c r="E97"/>
  <c r="E98"/>
  <c r="C99"/>
  <c r="EZ19" i="2" s="1"/>
  <c r="D99" i="9"/>
  <c r="FA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BF18" i="2" s="1"/>
  <c r="E30" i="8"/>
  <c r="F30"/>
  <c r="C31"/>
  <c r="D31"/>
  <c r="BL18" i="2" s="1"/>
  <c r="E32" i="8"/>
  <c r="F32"/>
  <c r="E33"/>
  <c r="BM18" i="2" s="1"/>
  <c r="F33" i="8"/>
  <c r="BN18" i="2" s="1"/>
  <c r="BN31" s="1"/>
  <c r="D34" i="8"/>
  <c r="BU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EE18" i="2" s="1"/>
  <c r="D64" i="8"/>
  <c r="EF18" i="2" s="1"/>
  <c r="E65" i="8"/>
  <c r="F65"/>
  <c r="E67"/>
  <c r="F67"/>
  <c r="E68"/>
  <c r="F68"/>
  <c r="E69"/>
  <c r="F69"/>
  <c r="E70"/>
  <c r="F70"/>
  <c r="D72"/>
  <c r="EL18" i="2" s="1"/>
  <c r="E73" i="8"/>
  <c r="F73"/>
  <c r="F74"/>
  <c r="E75"/>
  <c r="F75"/>
  <c r="E76"/>
  <c r="F76"/>
  <c r="D77"/>
  <c r="EO18" i="2" s="1"/>
  <c r="E78" i="8"/>
  <c r="F78"/>
  <c r="E79"/>
  <c r="F79"/>
  <c r="E82"/>
  <c r="F82"/>
  <c r="C84"/>
  <c r="ET18" i="2" s="1"/>
  <c r="D84" i="8"/>
  <c r="E85"/>
  <c r="F85"/>
  <c r="E86"/>
  <c r="F86"/>
  <c r="E87"/>
  <c r="F87"/>
  <c r="F88"/>
  <c r="C89"/>
  <c r="EW18" i="2" s="1"/>
  <c r="D89" i="8"/>
  <c r="EX18" i="2" s="1"/>
  <c r="E90" i="8"/>
  <c r="F90"/>
  <c r="E91"/>
  <c r="F91"/>
  <c r="E92"/>
  <c r="E93"/>
  <c r="E94"/>
  <c r="C95"/>
  <c r="EZ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6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W17" i="2" s="1"/>
  <c r="E88" i="7"/>
  <c r="F88"/>
  <c r="E89"/>
  <c r="F89"/>
  <c r="E90"/>
  <c r="E91"/>
  <c r="E92"/>
  <c r="C93"/>
  <c r="EZ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BE16" i="2" s="1"/>
  <c r="BF16"/>
  <c r="E31" i="6"/>
  <c r="F31"/>
  <c r="D33"/>
  <c r="BL16" i="2" s="1"/>
  <c r="E34" i="6"/>
  <c r="F34"/>
  <c r="E35"/>
  <c r="F35"/>
  <c r="E38"/>
  <c r="F38"/>
  <c r="BX16" i="2"/>
  <c r="E40" i="6"/>
  <c r="F42"/>
  <c r="E43"/>
  <c r="F43"/>
  <c r="E44"/>
  <c r="F44"/>
  <c r="E45"/>
  <c r="F45"/>
  <c r="E48"/>
  <c r="F48"/>
  <c r="E49"/>
  <c r="F49"/>
  <c r="F50"/>
  <c r="C56"/>
  <c r="D56"/>
  <c r="E58"/>
  <c r="F58"/>
  <c r="F59"/>
  <c r="E60"/>
  <c r="F60"/>
  <c r="E61"/>
  <c r="F61"/>
  <c r="E62"/>
  <c r="F62"/>
  <c r="E63"/>
  <c r="F63"/>
  <c r="C64"/>
  <c r="E65"/>
  <c r="F65"/>
  <c r="EH16" i="2"/>
  <c r="E67" i="6"/>
  <c r="F67"/>
  <c r="E68"/>
  <c r="F68"/>
  <c r="E69"/>
  <c r="F69"/>
  <c r="E70"/>
  <c r="F70"/>
  <c r="D72"/>
  <c r="EL16" i="2" s="1"/>
  <c r="E73" i="6"/>
  <c r="F73"/>
  <c r="E74"/>
  <c r="F74"/>
  <c r="E76"/>
  <c r="F76"/>
  <c r="C79"/>
  <c r="D79"/>
  <c r="EO16" i="2" s="1"/>
  <c r="E80" i="6"/>
  <c r="F80"/>
  <c r="E81"/>
  <c r="F81"/>
  <c r="E82"/>
  <c r="F82"/>
  <c r="C83"/>
  <c r="EQ16" i="2" s="1"/>
  <c r="D83" i="6"/>
  <c r="ER16" i="2" s="1"/>
  <c r="E84" i="6"/>
  <c r="F84"/>
  <c r="C85"/>
  <c r="ET16" i="2" s="1"/>
  <c r="D85" i="6"/>
  <c r="EU16" i="2" s="1"/>
  <c r="E86" i="6"/>
  <c r="F86"/>
  <c r="E87"/>
  <c r="F87"/>
  <c r="E88"/>
  <c r="F88"/>
  <c r="F89"/>
  <c r="C90"/>
  <c r="EW16" i="2" s="1"/>
  <c r="D90" i="6"/>
  <c r="EX16" i="2" s="1"/>
  <c r="E91" i="6"/>
  <c r="F91"/>
  <c r="E92"/>
  <c r="F92"/>
  <c r="E93"/>
  <c r="E94"/>
  <c r="E95"/>
  <c r="C96"/>
  <c r="D96"/>
  <c r="FA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K15" i="2" s="1"/>
  <c r="E34" i="5"/>
  <c r="E35"/>
  <c r="F35"/>
  <c r="C36"/>
  <c r="BQ15" i="2" s="1"/>
  <c r="D36" i="5"/>
  <c r="BR15" i="2" s="1"/>
  <c r="E37" i="5"/>
  <c r="F37"/>
  <c r="C38"/>
  <c r="BW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L15" i="2" s="1"/>
  <c r="E75" i="5"/>
  <c r="F75"/>
  <c r="E76"/>
  <c r="F76"/>
  <c r="E77"/>
  <c r="E78"/>
  <c r="F78"/>
  <c r="C79"/>
  <c r="D79"/>
  <c r="EO15" i="2" s="1"/>
  <c r="E80" i="5"/>
  <c r="F80"/>
  <c r="E81"/>
  <c r="F81"/>
  <c r="E82"/>
  <c r="E83"/>
  <c r="F83"/>
  <c r="C84"/>
  <c r="EQ15" i="2" s="1"/>
  <c r="D84" i="5"/>
  <c r="E85"/>
  <c r="F85"/>
  <c r="E86"/>
  <c r="F86"/>
  <c r="C87"/>
  <c r="ET15" i="2" s="1"/>
  <c r="D87" i="5"/>
  <c r="EU15" i="2" s="1"/>
  <c r="E88" i="5"/>
  <c r="F88"/>
  <c r="E89"/>
  <c r="F89"/>
  <c r="E90"/>
  <c r="F90"/>
  <c r="E91"/>
  <c r="F91"/>
  <c r="C92"/>
  <c r="EW15" i="2" s="1"/>
  <c r="D92" i="5"/>
  <c r="EX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BE14" i="2"/>
  <c r="BF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11" i="1"/>
  <c r="C11" s="1"/>
  <c r="F12"/>
  <c r="C12" s="1"/>
  <c r="F13"/>
  <c r="C13" s="1"/>
  <c r="F16"/>
  <c r="C16" s="1"/>
  <c r="F17"/>
  <c r="C17" s="1"/>
  <c r="G17"/>
  <c r="D17" s="1"/>
  <c r="F18"/>
  <c r="C18" s="1"/>
  <c r="F36"/>
  <c r="C36" s="1"/>
  <c r="F41"/>
  <c r="C41" s="1"/>
  <c r="F42"/>
  <c r="C42" s="1"/>
  <c r="G42"/>
  <c r="D42" s="1"/>
  <c r="R14" i="2"/>
  <c r="S14"/>
  <c r="U14"/>
  <c r="V14"/>
  <c r="X14"/>
  <c r="Y14"/>
  <c r="AA14"/>
  <c r="AB14"/>
  <c r="AD14"/>
  <c r="AG14"/>
  <c r="AH14"/>
  <c r="AJ14"/>
  <c r="AM14"/>
  <c r="AN14"/>
  <c r="AR14"/>
  <c r="AU14"/>
  <c r="AZ14"/>
  <c r="BD14"/>
  <c r="BH14"/>
  <c r="BI14"/>
  <c r="BI31" s="1"/>
  <c r="BP14"/>
  <c r="CB14"/>
  <c r="CB31" s="1"/>
  <c r="CB32" s="1"/>
  <c r="CB33" s="1"/>
  <c r="CE14"/>
  <c r="CE31" s="1"/>
  <c r="CI14"/>
  <c r="CL14"/>
  <c r="CM14"/>
  <c r="CP14"/>
  <c r="CR14"/>
  <c r="DF14"/>
  <c r="DS14"/>
  <c r="DY14"/>
  <c r="DZ14"/>
  <c r="EB14"/>
  <c r="EC14"/>
  <c r="EE14"/>
  <c r="EF14"/>
  <c r="ET14"/>
  <c r="EU14"/>
  <c r="EZ14"/>
  <c r="L15"/>
  <c r="R15"/>
  <c r="S15"/>
  <c r="U15"/>
  <c r="V15"/>
  <c r="X15"/>
  <c r="Y15"/>
  <c r="AA15"/>
  <c r="AB15"/>
  <c r="AD15"/>
  <c r="AG15"/>
  <c r="AH15"/>
  <c r="AJ15"/>
  <c r="AK15"/>
  <c r="AM15"/>
  <c r="AN15"/>
  <c r="AR15"/>
  <c r="AS15"/>
  <c r="AT15"/>
  <c r="AZ15"/>
  <c r="BD15"/>
  <c r="BP15"/>
  <c r="CB15"/>
  <c r="CE15"/>
  <c r="CI15"/>
  <c r="CJ15"/>
  <c r="CL15"/>
  <c r="CM15"/>
  <c r="CP15"/>
  <c r="CR15"/>
  <c r="CS15"/>
  <c r="CU15"/>
  <c r="CV15"/>
  <c r="DF15"/>
  <c r="DS15"/>
  <c r="DV15"/>
  <c r="DW15"/>
  <c r="DY15"/>
  <c r="DZ15"/>
  <c r="EB15"/>
  <c r="EC15"/>
  <c r="EE15"/>
  <c r="EF15"/>
  <c r="EI15"/>
  <c r="EZ15"/>
  <c r="FA15"/>
  <c r="L16"/>
  <c r="R16"/>
  <c r="S16"/>
  <c r="U16"/>
  <c r="V16"/>
  <c r="X16"/>
  <c r="Y16"/>
  <c r="AA16"/>
  <c r="AB16"/>
  <c r="AD16"/>
  <c r="AG16"/>
  <c r="AH16"/>
  <c r="AJ16"/>
  <c r="AK16"/>
  <c r="AM16"/>
  <c r="AN16"/>
  <c r="AR16"/>
  <c r="AS16"/>
  <c r="AT16"/>
  <c r="AV16"/>
  <c r="AZ16"/>
  <c r="BD16"/>
  <c r="BK16"/>
  <c r="BP16"/>
  <c r="CB16"/>
  <c r="CE16"/>
  <c r="CI16"/>
  <c r="CJ16"/>
  <c r="CL16"/>
  <c r="CM16"/>
  <c r="CP16"/>
  <c r="CR16"/>
  <c r="CS16"/>
  <c r="CZ16"/>
  <c r="DF16"/>
  <c r="DS16"/>
  <c r="DV16"/>
  <c r="DY16"/>
  <c r="DZ16"/>
  <c r="EC16"/>
  <c r="EE16"/>
  <c r="EF16"/>
  <c r="L17"/>
  <c r="R17"/>
  <c r="S17"/>
  <c r="U17"/>
  <c r="V17"/>
  <c r="X17"/>
  <c r="Y17"/>
  <c r="AA17"/>
  <c r="AB17"/>
  <c r="AD17"/>
  <c r="AG17"/>
  <c r="AH17"/>
  <c r="AJ17"/>
  <c r="AK17"/>
  <c r="AM17"/>
  <c r="AN17"/>
  <c r="AR17"/>
  <c r="AU17"/>
  <c r="AZ17"/>
  <c r="BD17"/>
  <c r="BK17"/>
  <c r="BL17"/>
  <c r="BP17"/>
  <c r="CB17"/>
  <c r="CE17"/>
  <c r="CP17"/>
  <c r="CR17"/>
  <c r="CS17"/>
  <c r="CZ17"/>
  <c r="DF17"/>
  <c r="DS17"/>
  <c r="DY17"/>
  <c r="DZ17"/>
  <c r="EB17"/>
  <c r="EC17"/>
  <c r="EE17"/>
  <c r="EF17"/>
  <c r="L18"/>
  <c r="R18"/>
  <c r="S18"/>
  <c r="U18"/>
  <c r="V18"/>
  <c r="X18"/>
  <c r="Y18"/>
  <c r="AA18"/>
  <c r="AB18"/>
  <c r="AD18"/>
  <c r="AG18"/>
  <c r="AH18"/>
  <c r="AJ18"/>
  <c r="AK18"/>
  <c r="AM18"/>
  <c r="AN18"/>
  <c r="AP18"/>
  <c r="AQ18"/>
  <c r="AU18"/>
  <c r="BD18"/>
  <c r="BK18"/>
  <c r="CB18"/>
  <c r="CE18"/>
  <c r="CI18"/>
  <c r="CJ18"/>
  <c r="CL18"/>
  <c r="CM18"/>
  <c r="CP18"/>
  <c r="CS18"/>
  <c r="CU18"/>
  <c r="CV18"/>
  <c r="DF18"/>
  <c r="DS18"/>
  <c r="DV18"/>
  <c r="DY18"/>
  <c r="DZ18"/>
  <c r="EB18"/>
  <c r="EC18"/>
  <c r="L19"/>
  <c r="R19"/>
  <c r="S19"/>
  <c r="U19"/>
  <c r="V19"/>
  <c r="X19"/>
  <c r="Y19"/>
  <c r="AA19"/>
  <c r="AB19"/>
  <c r="AD19"/>
  <c r="AG19"/>
  <c r="AH19"/>
  <c r="AJ19"/>
  <c r="AK19"/>
  <c r="AM19"/>
  <c r="AN19"/>
  <c r="AR19"/>
  <c r="AS19"/>
  <c r="BD19"/>
  <c r="BP19"/>
  <c r="CB19"/>
  <c r="CE19"/>
  <c r="CP19"/>
  <c r="CR19"/>
  <c r="CS19"/>
  <c r="CV19"/>
  <c r="CW19" s="1"/>
  <c r="DF19"/>
  <c r="DS19"/>
  <c r="DV19"/>
  <c r="DW19"/>
  <c r="DY19"/>
  <c r="DZ19"/>
  <c r="EB19"/>
  <c r="EC19"/>
  <c r="EE19"/>
  <c r="EF19"/>
  <c r="L20"/>
  <c r="R20"/>
  <c r="S20"/>
  <c r="U20"/>
  <c r="V20"/>
  <c r="X20"/>
  <c r="Y20"/>
  <c r="AA20"/>
  <c r="AB20"/>
  <c r="AD20"/>
  <c r="AG20"/>
  <c r="AH20"/>
  <c r="AJ20"/>
  <c r="AK20"/>
  <c r="AM20"/>
  <c r="AN20"/>
  <c r="AR20"/>
  <c r="AU20"/>
  <c r="AZ20"/>
  <c r="BD20"/>
  <c r="BK20"/>
  <c r="BP20"/>
  <c r="CB20"/>
  <c r="CE20"/>
  <c r="CJ20"/>
  <c r="CL20"/>
  <c r="CM20"/>
  <c r="CP20"/>
  <c r="CR20"/>
  <c r="CS20"/>
  <c r="CV20"/>
  <c r="CX20"/>
  <c r="CY20"/>
  <c r="DF20"/>
  <c r="DS20"/>
  <c r="DV20"/>
  <c r="DY20"/>
  <c r="DZ20"/>
  <c r="EB20"/>
  <c r="EC20"/>
  <c r="EE20"/>
  <c r="EF20"/>
  <c r="L21"/>
  <c r="S21"/>
  <c r="V21"/>
  <c r="Y21"/>
  <c r="AB21"/>
  <c r="AH21"/>
  <c r="AK21"/>
  <c r="AN21"/>
  <c r="AZ21"/>
  <c r="R21"/>
  <c r="U21"/>
  <c r="X21"/>
  <c r="AA21"/>
  <c r="AD21"/>
  <c r="AG21"/>
  <c r="AJ21"/>
  <c r="AM21"/>
  <c r="AP21"/>
  <c r="AU21"/>
  <c r="BD21"/>
  <c r="BP21"/>
  <c r="CB21"/>
  <c r="CE21"/>
  <c r="CI21"/>
  <c r="CJ21"/>
  <c r="CP21"/>
  <c r="CS21"/>
  <c r="CL21"/>
  <c r="CM21"/>
  <c r="CR21"/>
  <c r="DF21"/>
  <c r="DS21"/>
  <c r="DV21"/>
  <c r="DY21"/>
  <c r="DZ21"/>
  <c r="EB21"/>
  <c r="EC21"/>
  <c r="EE21"/>
  <c r="EF21"/>
  <c r="L22"/>
  <c r="S22"/>
  <c r="V22"/>
  <c r="Y22"/>
  <c r="AB22"/>
  <c r="AH22"/>
  <c r="AK22"/>
  <c r="AN22"/>
  <c r="AZ22"/>
  <c r="R22"/>
  <c r="U22"/>
  <c r="X22"/>
  <c r="AA22"/>
  <c r="AD22"/>
  <c r="AG22"/>
  <c r="AJ22"/>
  <c r="AM22"/>
  <c r="BD22"/>
  <c r="BP22"/>
  <c r="CB22"/>
  <c r="CE22"/>
  <c r="CI22"/>
  <c r="CJ22"/>
  <c r="CS22"/>
  <c r="CL22"/>
  <c r="CM22"/>
  <c r="CP22"/>
  <c r="CR22"/>
  <c r="DF22"/>
  <c r="DV22"/>
  <c r="DY22"/>
  <c r="DZ22"/>
  <c r="EB22"/>
  <c r="EC22"/>
  <c r="EE22"/>
  <c r="EZ22"/>
  <c r="FA22"/>
  <c r="S23"/>
  <c r="V23"/>
  <c r="Y23"/>
  <c r="AB23"/>
  <c r="AH23"/>
  <c r="AK23"/>
  <c r="AN23"/>
  <c r="CJ23"/>
  <c r="CP23"/>
  <c r="CS23"/>
  <c r="U23"/>
  <c r="X23"/>
  <c r="AA23"/>
  <c r="AD23"/>
  <c r="AG23"/>
  <c r="AM23"/>
  <c r="AR23"/>
  <c r="AU23"/>
  <c r="AZ23"/>
  <c r="BD23"/>
  <c r="BK23"/>
  <c r="BL23"/>
  <c r="BP23"/>
  <c r="CB23"/>
  <c r="CE23"/>
  <c r="CI23"/>
  <c r="CR23"/>
  <c r="CZ23"/>
  <c r="DF23"/>
  <c r="DS23"/>
  <c r="DV23"/>
  <c r="DW23"/>
  <c r="DY23"/>
  <c r="DZ23"/>
  <c r="EB23"/>
  <c r="EC23"/>
  <c r="EE23"/>
  <c r="EF23"/>
  <c r="S24"/>
  <c r="V24"/>
  <c r="Y24"/>
  <c r="AB24"/>
  <c r="AH24"/>
  <c r="AK24"/>
  <c r="AN24"/>
  <c r="CJ24"/>
  <c r="CP24"/>
  <c r="CS24"/>
  <c r="R24"/>
  <c r="U24"/>
  <c r="X24"/>
  <c r="AA24"/>
  <c r="AD24"/>
  <c r="AM24"/>
  <c r="AP24"/>
  <c r="AU24"/>
  <c r="AZ24"/>
  <c r="BD24"/>
  <c r="BK24"/>
  <c r="BP24"/>
  <c r="CB24"/>
  <c r="CE24"/>
  <c r="CI24"/>
  <c r="CL24"/>
  <c r="CM24"/>
  <c r="CR24"/>
  <c r="DF24"/>
  <c r="DS24"/>
  <c r="DV24"/>
  <c r="DY24"/>
  <c r="DZ24"/>
  <c r="EB24"/>
  <c r="EC24"/>
  <c r="EE24"/>
  <c r="EF24"/>
  <c r="S25"/>
  <c r="Y25"/>
  <c r="AB25"/>
  <c r="AH25"/>
  <c r="AK25"/>
  <c r="AN25"/>
  <c r="AZ25"/>
  <c r="CJ25"/>
  <c r="CP25"/>
  <c r="CS25"/>
  <c r="L25"/>
  <c r="R25"/>
  <c r="U25"/>
  <c r="X25"/>
  <c r="AA25"/>
  <c r="AD25"/>
  <c r="AG25"/>
  <c r="AJ25"/>
  <c r="AM25"/>
  <c r="AR25"/>
  <c r="BD25"/>
  <c r="BP25"/>
  <c r="CB25"/>
  <c r="CE25"/>
  <c r="CI25"/>
  <c r="CL25"/>
  <c r="CM25"/>
  <c r="CR25"/>
  <c r="CU25"/>
  <c r="DF25"/>
  <c r="DS25"/>
  <c r="DV25"/>
  <c r="DW25"/>
  <c r="DY25"/>
  <c r="DZ25"/>
  <c r="EB25"/>
  <c r="EC25"/>
  <c r="EE25"/>
  <c r="EF25"/>
  <c r="S26"/>
  <c r="V26"/>
  <c r="Y26"/>
  <c r="AB26"/>
  <c r="AH26"/>
  <c r="AK26"/>
  <c r="AN26"/>
  <c r="AZ26"/>
  <c r="CJ26"/>
  <c r="CS26"/>
  <c r="L26"/>
  <c r="R26"/>
  <c r="U26"/>
  <c r="X26"/>
  <c r="AA26"/>
  <c r="AD26"/>
  <c r="AG26"/>
  <c r="AJ26"/>
  <c r="AM26"/>
  <c r="AR26"/>
  <c r="BD26"/>
  <c r="BK26"/>
  <c r="BP26"/>
  <c r="CB26"/>
  <c r="CE26"/>
  <c r="CL26"/>
  <c r="CM26"/>
  <c r="CP26"/>
  <c r="CR26"/>
  <c r="DF26"/>
  <c r="DS26"/>
  <c r="DV26"/>
  <c r="DW26"/>
  <c r="DY26"/>
  <c r="DZ26"/>
  <c r="EB26"/>
  <c r="EC26"/>
  <c r="EE26"/>
  <c r="EF26"/>
  <c r="S27"/>
  <c r="V27"/>
  <c r="Y27"/>
  <c r="AB27"/>
  <c r="AH27"/>
  <c r="AK27"/>
  <c r="AN27"/>
  <c r="AZ27"/>
  <c r="CJ27"/>
  <c r="CS27"/>
  <c r="L27"/>
  <c r="R27"/>
  <c r="U27"/>
  <c r="X27"/>
  <c r="AA27"/>
  <c r="AD27"/>
  <c r="AG27"/>
  <c r="AJ27"/>
  <c r="AM27"/>
  <c r="AR27"/>
  <c r="BD27"/>
  <c r="BP27"/>
  <c r="CB27"/>
  <c r="CE27"/>
  <c r="CI27"/>
  <c r="CP27"/>
  <c r="CR27"/>
  <c r="DF27"/>
  <c r="DS27"/>
  <c r="DV27"/>
  <c r="DW27"/>
  <c r="DY27"/>
  <c r="DZ27"/>
  <c r="EB27"/>
  <c r="EC27"/>
  <c r="EE27"/>
  <c r="EF27"/>
  <c r="S28"/>
  <c r="V28"/>
  <c r="Y28"/>
  <c r="AB28"/>
  <c r="AK28"/>
  <c r="AN28"/>
  <c r="CJ28"/>
  <c r="CS28"/>
  <c r="L28"/>
  <c r="R28"/>
  <c r="U28"/>
  <c r="X28"/>
  <c r="AA28"/>
  <c r="AD28"/>
  <c r="AG28"/>
  <c r="AJ28"/>
  <c r="AM28"/>
  <c r="AR28"/>
  <c r="AU28"/>
  <c r="BD28"/>
  <c r="BP28"/>
  <c r="CB28"/>
  <c r="CE28"/>
  <c r="CI28"/>
  <c r="CL28"/>
  <c r="CM28"/>
  <c r="CP28"/>
  <c r="CR28"/>
  <c r="DF28"/>
  <c r="DH28"/>
  <c r="DI28" s="1"/>
  <c r="DS28"/>
  <c r="DV28"/>
  <c r="DW28"/>
  <c r="DY28"/>
  <c r="DZ28"/>
  <c r="EB28"/>
  <c r="EC28"/>
  <c r="EE28"/>
  <c r="S29"/>
  <c r="V29"/>
  <c r="Y29"/>
  <c r="AB29"/>
  <c r="AH29"/>
  <c r="AK29"/>
  <c r="AN29"/>
  <c r="CJ29"/>
  <c r="CP29"/>
  <c r="CS29"/>
  <c r="R29"/>
  <c r="U29"/>
  <c r="X29"/>
  <c r="AA29"/>
  <c r="AD29"/>
  <c r="AG29"/>
  <c r="AJ29"/>
  <c r="AM29"/>
  <c r="AR29"/>
  <c r="BD29"/>
  <c r="BP29"/>
  <c r="CB29"/>
  <c r="CE29"/>
  <c r="CI29"/>
  <c r="CL29"/>
  <c r="CM29"/>
  <c r="CR29"/>
  <c r="CZ29"/>
  <c r="DF29"/>
  <c r="DS29"/>
  <c r="DV29"/>
  <c r="DY29"/>
  <c r="DZ29"/>
  <c r="EB29"/>
  <c r="EC29"/>
  <c r="EQ29"/>
  <c r="BB31"/>
  <c r="BB32" s="1"/>
  <c r="BB33" s="1"/>
  <c r="BC31"/>
  <c r="BZ31"/>
  <c r="BZ32" s="1"/>
  <c r="BZ33" s="1"/>
  <c r="CC31"/>
  <c r="CC32" s="1"/>
  <c r="CC33" s="1"/>
  <c r="CD31"/>
  <c r="DA31"/>
  <c r="DA32" s="1"/>
  <c r="DA33" s="1"/>
  <c r="DD31"/>
  <c r="DD32" s="1"/>
  <c r="DD33" s="1"/>
  <c r="DE31"/>
  <c r="DE32" s="1"/>
  <c r="DE33" s="1"/>
  <c r="DG31"/>
  <c r="DJ31"/>
  <c r="DJ32" s="1"/>
  <c r="DJ33" s="1"/>
  <c r="E24" i="1"/>
  <c r="F24"/>
  <c r="F28"/>
  <c r="C28" s="1"/>
  <c r="G28"/>
  <c r="E34"/>
  <c r="E35"/>
  <c r="E38"/>
  <c r="AU22" i="2"/>
  <c r="AU29"/>
  <c r="AU27"/>
  <c r="AU26"/>
  <c r="F40" i="6"/>
  <c r="BY14" i="2"/>
  <c r="G39" i="1"/>
  <c r="E73" i="11"/>
  <c r="E58" i="12"/>
  <c r="F58"/>
  <c r="C56"/>
  <c r="DS22" i="2"/>
  <c r="F78" i="14"/>
  <c r="C77"/>
  <c r="EN24" i="2" s="1"/>
  <c r="E78" i="14"/>
  <c r="F80" i="15"/>
  <c r="C77"/>
  <c r="EN25" i="2" s="1"/>
  <c r="E80" i="15"/>
  <c r="F74" i="18"/>
  <c r="E74"/>
  <c r="C70" i="19"/>
  <c r="F73"/>
  <c r="E73"/>
  <c r="E42" i="6"/>
  <c r="E76" i="9"/>
  <c r="F75" i="11"/>
  <c r="E77" i="12"/>
  <c r="F75" i="17"/>
  <c r="C74"/>
  <c r="EK27" i="2" s="1"/>
  <c r="E75" i="17"/>
  <c r="E80" i="8"/>
  <c r="F80"/>
  <c r="E74"/>
  <c r="CI20" i="2"/>
  <c r="C72" i="12"/>
  <c r="C39" i="19"/>
  <c r="F40"/>
  <c r="C31" i="1" l="1"/>
  <c r="C25" i="19"/>
  <c r="BF29" i="2"/>
  <c r="BG29" s="1"/>
  <c r="D25" i="19"/>
  <c r="BM28" i="2"/>
  <c r="D25" i="18"/>
  <c r="P18" i="2"/>
  <c r="P29"/>
  <c r="P27"/>
  <c r="O26"/>
  <c r="O21"/>
  <c r="P21"/>
  <c r="P17"/>
  <c r="P14"/>
  <c r="O23"/>
  <c r="P28"/>
  <c r="P26"/>
  <c r="P24"/>
  <c r="O16"/>
  <c r="O29"/>
  <c r="O28"/>
  <c r="P25"/>
  <c r="O20"/>
  <c r="O19"/>
  <c r="P16"/>
  <c r="O18"/>
  <c r="P15"/>
  <c r="O25"/>
  <c r="O27"/>
  <c r="O24"/>
  <c r="P23"/>
  <c r="O22"/>
  <c r="P22"/>
  <c r="P20"/>
  <c r="P19"/>
  <c r="O17"/>
  <c r="O15"/>
  <c r="O14"/>
  <c r="BF23"/>
  <c r="BG23" s="1"/>
  <c r="D23" i="13"/>
  <c r="BV22" i="2"/>
  <c r="D25" i="17"/>
  <c r="D95" i="13"/>
  <c r="I28" i="2"/>
  <c r="I29"/>
  <c r="I27"/>
  <c r="I26"/>
  <c r="I25"/>
  <c r="I24"/>
  <c r="I23"/>
  <c r="I22"/>
  <c r="I21"/>
  <c r="I20"/>
  <c r="I19"/>
  <c r="I18"/>
  <c r="I17"/>
  <c r="I16"/>
  <c r="I15"/>
  <c r="I14"/>
  <c r="D25" i="16"/>
  <c r="CW29" i="2"/>
  <c r="CG23"/>
  <c r="CF14"/>
  <c r="AW31"/>
  <c r="CW20"/>
  <c r="E20" i="14"/>
  <c r="CW23" i="2"/>
  <c r="CW21"/>
  <c r="CG17"/>
  <c r="CW28"/>
  <c r="CW27"/>
  <c r="CW26"/>
  <c r="CW25"/>
  <c r="CW24"/>
  <c r="CW22"/>
  <c r="CW18"/>
  <c r="CW16"/>
  <c r="CW15"/>
  <c r="BV29"/>
  <c r="F28"/>
  <c r="F27"/>
  <c r="F23"/>
  <c r="F22"/>
  <c r="F20"/>
  <c r="BV19"/>
  <c r="BV17"/>
  <c r="F16"/>
  <c r="C25" i="12"/>
  <c r="AY19" i="2"/>
  <c r="F19" s="1"/>
  <c r="C25" i="9"/>
  <c r="C25" i="6"/>
  <c r="C25" i="16"/>
  <c r="D98" i="8"/>
  <c r="EN27" i="2"/>
  <c r="EP27" s="1"/>
  <c r="BV25"/>
  <c r="BV18"/>
  <c r="BV28"/>
  <c r="CF16"/>
  <c r="BG16"/>
  <c r="C94" i="4"/>
  <c r="M31" i="2"/>
  <c r="M33" s="1"/>
  <c r="E64" i="11"/>
  <c r="D96" i="19"/>
  <c r="E14" i="12"/>
  <c r="EW29" i="2"/>
  <c r="EY29" s="1"/>
  <c r="F17" i="14"/>
  <c r="C98" i="12"/>
  <c r="G98" s="1"/>
  <c r="D98"/>
  <c r="H98" s="1"/>
  <c r="D25"/>
  <c r="AB31" i="2"/>
  <c r="AB33" s="1"/>
  <c r="EW14"/>
  <c r="EY14" s="1"/>
  <c r="D25" i="11"/>
  <c r="F40"/>
  <c r="C25"/>
  <c r="D94" i="4"/>
  <c r="N27" i="2"/>
  <c r="F60" i="4"/>
  <c r="H9" i="1"/>
  <c r="E17" i="19"/>
  <c r="F81" i="14"/>
  <c r="E40" i="9"/>
  <c r="EH15" i="2"/>
  <c r="EJ15" s="1"/>
  <c r="E5" i="12"/>
  <c r="F55" i="16"/>
  <c r="E40" i="8"/>
  <c r="CQ27" i="2"/>
  <c r="E69" i="13"/>
  <c r="F7" i="7"/>
  <c r="E66" i="15"/>
  <c r="F5" i="17"/>
  <c r="AI24" i="2"/>
  <c r="CQ28"/>
  <c r="F32" i="18"/>
  <c r="F12" i="12"/>
  <c r="E7"/>
  <c r="BA21" i="2"/>
  <c r="F5" i="16"/>
  <c r="E26" i="5"/>
  <c r="E5" i="14"/>
  <c r="DX29" i="2"/>
  <c r="N26"/>
  <c r="E5" i="13"/>
  <c r="BA22" i="2"/>
  <c r="F82" i="12"/>
  <c r="E5" i="8"/>
  <c r="F26" i="5"/>
  <c r="F26" i="12"/>
  <c r="AX22" i="2"/>
  <c r="F7" i="12"/>
  <c r="E38" i="5"/>
  <c r="C25"/>
  <c r="CN23" i="2"/>
  <c r="AF20"/>
  <c r="E53" i="13"/>
  <c r="T22" i="2"/>
  <c r="F14" i="11"/>
  <c r="DU18" i="2"/>
  <c r="N17"/>
  <c r="AL14"/>
  <c r="C36" i="16"/>
  <c r="BW26" i="2" s="1"/>
  <c r="F26" s="1"/>
  <c r="E17" i="16"/>
  <c r="EJ23" i="2"/>
  <c r="E17" i="13"/>
  <c r="E26" i="12"/>
  <c r="CQ22" i="2"/>
  <c r="F5" i="12"/>
  <c r="CN19" i="2"/>
  <c r="AO18"/>
  <c r="AI18"/>
  <c r="AO17"/>
  <c r="E26" i="6"/>
  <c r="F79"/>
  <c r="F20"/>
  <c r="EA29" i="2"/>
  <c r="AL28"/>
  <c r="E26" i="17"/>
  <c r="E26" i="14"/>
  <c r="E66"/>
  <c r="CT23" i="2"/>
  <c r="EG23"/>
  <c r="AC21"/>
  <c r="E37" i="11"/>
  <c r="EG21" i="2"/>
  <c r="T21"/>
  <c r="F14" i="9"/>
  <c r="E91"/>
  <c r="CT18" i="2"/>
  <c r="F56" i="8"/>
  <c r="E7"/>
  <c r="AC18" i="2"/>
  <c r="F66" i="6"/>
  <c r="E36" i="5"/>
  <c r="E33"/>
  <c r="E68"/>
  <c r="EA15" i="2"/>
  <c r="CT15"/>
  <c r="F58" i="5"/>
  <c r="C4"/>
  <c r="BT15" i="2"/>
  <c r="F15" s="1"/>
  <c r="F36" i="5"/>
  <c r="F30"/>
  <c r="BA14" i="2"/>
  <c r="F34" i="4"/>
  <c r="F17"/>
  <c r="F5"/>
  <c r="F43" i="1"/>
  <c r="H43" s="1"/>
  <c r="F26" i="19"/>
  <c r="E17" i="17"/>
  <c r="CN27" i="2"/>
  <c r="EG25"/>
  <c r="BA25"/>
  <c r="CN25"/>
  <c r="AF25"/>
  <c r="CK25"/>
  <c r="F37" i="14"/>
  <c r="F35" s="1"/>
  <c r="F34" s="1"/>
  <c r="F61" i="13"/>
  <c r="W22" i="2"/>
  <c r="E94" i="11"/>
  <c r="F40" i="9"/>
  <c r="E20"/>
  <c r="F36"/>
  <c r="F86"/>
  <c r="F7" i="8"/>
  <c r="EY18" i="2"/>
  <c r="F14" i="8"/>
  <c r="F80" i="7"/>
  <c r="E39" i="6"/>
  <c r="E36"/>
  <c r="CK15" i="2"/>
  <c r="AL15"/>
  <c r="AC15"/>
  <c r="EV15"/>
  <c r="E84" i="4"/>
  <c r="E73"/>
  <c r="D4"/>
  <c r="D37" s="1"/>
  <c r="G33" i="1"/>
  <c r="D33" s="1"/>
  <c r="F7" i="19"/>
  <c r="BG27" i="2"/>
  <c r="F31" i="16"/>
  <c r="E29"/>
  <c r="F31" i="15"/>
  <c r="F29"/>
  <c r="E20"/>
  <c r="AO24" i="2"/>
  <c r="CQ23"/>
  <c r="E24" i="13"/>
  <c r="CN22" i="2"/>
  <c r="F94" i="11"/>
  <c r="F37"/>
  <c r="E7"/>
  <c r="DP20" i="2"/>
  <c r="CZ20"/>
  <c r="E26" i="10"/>
  <c r="F20"/>
  <c r="E12"/>
  <c r="BM19" i="2"/>
  <c r="CF18"/>
  <c r="E14" i="8"/>
  <c r="Z18" i="2"/>
  <c r="F81" i="8"/>
  <c r="F17" i="7"/>
  <c r="DP16" i="2"/>
  <c r="F39" i="6"/>
  <c r="F85"/>
  <c r="C4"/>
  <c r="DX15" i="2"/>
  <c r="BU15"/>
  <c r="F20" i="5"/>
  <c r="ED14" i="2"/>
  <c r="CK14"/>
  <c r="E7" i="19"/>
  <c r="D4"/>
  <c r="E34"/>
  <c r="AI29" i="2"/>
  <c r="DQ29"/>
  <c r="DN29" s="1"/>
  <c r="E84" i="18"/>
  <c r="F79" i="17"/>
  <c r="C25"/>
  <c r="E31"/>
  <c r="AO27" i="2"/>
  <c r="E82" i="16"/>
  <c r="AC26" i="2"/>
  <c r="C4" i="16"/>
  <c r="E26"/>
  <c r="E12"/>
  <c r="G25" i="2"/>
  <c r="E31" i="15"/>
  <c r="F20"/>
  <c r="F26" i="14"/>
  <c r="E83"/>
  <c r="DQ24" i="2"/>
  <c r="DN24" s="1"/>
  <c r="F91" i="13"/>
  <c r="DU23" i="2"/>
  <c r="F53" i="13"/>
  <c r="F85"/>
  <c r="D4"/>
  <c r="F78" i="12"/>
  <c r="EO22" i="2"/>
  <c r="EP22" s="1"/>
  <c r="E29" i="12"/>
  <c r="DU22" i="2"/>
  <c r="F29" i="12"/>
  <c r="DX22" i="2"/>
  <c r="E64" i="12"/>
  <c r="F37"/>
  <c r="E78"/>
  <c r="E12"/>
  <c r="F7" i="11"/>
  <c r="F85" i="10"/>
  <c r="E7"/>
  <c r="E67"/>
  <c r="AL20" i="2"/>
  <c r="AX20"/>
  <c r="F20" i="9"/>
  <c r="CQ19" i="2"/>
  <c r="F65" i="9"/>
  <c r="DQ19" i="2"/>
  <c r="ED19"/>
  <c r="W19"/>
  <c r="N19"/>
  <c r="E66" i="8"/>
  <c r="CK18" i="2"/>
  <c r="N18"/>
  <c r="BR31"/>
  <c r="E89" i="8"/>
  <c r="EG18" i="2"/>
  <c r="AX18"/>
  <c r="E7" i="6"/>
  <c r="E33"/>
  <c r="F12"/>
  <c r="F87" i="5"/>
  <c r="E20"/>
  <c r="DU15" i="2"/>
  <c r="E20" i="4"/>
  <c r="CQ14" i="2"/>
  <c r="AF14"/>
  <c r="E14" i="4"/>
  <c r="E7"/>
  <c r="F31"/>
  <c r="F29" i="19"/>
  <c r="E29"/>
  <c r="E12"/>
  <c r="E26"/>
  <c r="AO29" i="2"/>
  <c r="F31" i="19"/>
  <c r="E92"/>
  <c r="DU29" i="2"/>
  <c r="AC29"/>
  <c r="E17" i="18"/>
  <c r="E7"/>
  <c r="AF28" i="2"/>
  <c r="E79" i="17"/>
  <c r="E47"/>
  <c r="ED27" i="2"/>
  <c r="E36" i="17"/>
  <c r="FB27" i="2"/>
  <c r="F31" i="17"/>
  <c r="AC27" i="2"/>
  <c r="E96" i="17"/>
  <c r="F96"/>
  <c r="BY27" i="2"/>
  <c r="E87" i="16"/>
  <c r="E55"/>
  <c r="F93"/>
  <c r="EU26" i="2"/>
  <c r="EV26" s="1"/>
  <c r="BU26"/>
  <c r="BV26" s="1"/>
  <c r="EX26"/>
  <c r="EX31" s="1"/>
  <c r="T26"/>
  <c r="F26" i="16"/>
  <c r="BG26" i="2"/>
  <c r="F34" i="16"/>
  <c r="F37"/>
  <c r="F29"/>
  <c r="F12"/>
  <c r="F7"/>
  <c r="FB25" i="2"/>
  <c r="F56" i="15"/>
  <c r="E41"/>
  <c r="F94"/>
  <c r="EH25" i="2"/>
  <c r="EJ25" s="1"/>
  <c r="N25"/>
  <c r="E88" i="15"/>
  <c r="E56"/>
  <c r="ED25" i="2"/>
  <c r="EP24"/>
  <c r="E17" i="14"/>
  <c r="BW24" i="2"/>
  <c r="BY24" s="1"/>
  <c r="F64" i="14"/>
  <c r="E88"/>
  <c r="CF24" i="2"/>
  <c r="T24"/>
  <c r="F5" i="14"/>
  <c r="AX24" i="2"/>
  <c r="E63" i="13"/>
  <c r="F24"/>
  <c r="CF23" i="2"/>
  <c r="AO23"/>
  <c r="AX23"/>
  <c r="F72" i="12"/>
  <c r="F96"/>
  <c r="E96"/>
  <c r="BG22" i="2"/>
  <c r="F83" i="11"/>
  <c r="EU21" i="2"/>
  <c r="EV21" s="1"/>
  <c r="E88" i="11"/>
  <c r="AL21" i="2"/>
  <c r="AP31"/>
  <c r="AP32" s="1"/>
  <c r="AP33" s="1"/>
  <c r="N21"/>
  <c r="EY20"/>
  <c r="F67" i="10"/>
  <c r="F78"/>
  <c r="F7"/>
  <c r="DU20" i="2"/>
  <c r="E30" i="10"/>
  <c r="E20"/>
  <c r="E14"/>
  <c r="E86" i="9"/>
  <c r="E65"/>
  <c r="DU19" i="2"/>
  <c r="E34" i="9"/>
  <c r="F26"/>
  <c r="FB18" i="2"/>
  <c r="EP18"/>
  <c r="F20" i="8"/>
  <c r="E95"/>
  <c r="F34"/>
  <c r="BQ31" i="2"/>
  <c r="E20" i="7"/>
  <c r="U31" i="2"/>
  <c r="U33" s="1"/>
  <c r="E87" i="7"/>
  <c r="BA17" i="2"/>
  <c r="F93" i="7"/>
  <c r="E65"/>
  <c r="EY16" i="2"/>
  <c r="E20" i="6"/>
  <c r="BU16" i="2"/>
  <c r="BV16" s="1"/>
  <c r="E90" i="6"/>
  <c r="DX16" i="2"/>
  <c r="E12" i="6"/>
  <c r="EA16" i="2"/>
  <c r="AO16"/>
  <c r="AI16"/>
  <c r="AC16"/>
  <c r="C102" i="5"/>
  <c r="D102"/>
  <c r="FB15" i="2"/>
  <c r="BI32"/>
  <c r="BI33" s="1"/>
  <c r="E12" i="4"/>
  <c r="F90"/>
  <c r="F20"/>
  <c r="W29" i="2"/>
  <c r="ED28"/>
  <c r="DX28"/>
  <c r="CK28"/>
  <c r="W27"/>
  <c r="T27"/>
  <c r="Z26"/>
  <c r="W24"/>
  <c r="DQ23"/>
  <c r="AI23"/>
  <c r="CF22"/>
  <c r="AC22"/>
  <c r="EA19"/>
  <c r="CF19"/>
  <c r="AR18"/>
  <c r="CT16"/>
  <c r="AU16"/>
  <c r="DQ15"/>
  <c r="DP15"/>
  <c r="AU15"/>
  <c r="AG31"/>
  <c r="AG33" s="1"/>
  <c r="E17" i="4"/>
  <c r="C4"/>
  <c r="C37" s="1"/>
  <c r="F84" i="5"/>
  <c r="EV16" i="2"/>
  <c r="E79" i="6"/>
  <c r="F17"/>
  <c r="F87" i="7"/>
  <c r="F29"/>
  <c r="F5"/>
  <c r="E56" i="8"/>
  <c r="E17"/>
  <c r="E78" i="9"/>
  <c r="F31"/>
  <c r="C4"/>
  <c r="E83" i="10"/>
  <c r="F57"/>
  <c r="E37"/>
  <c r="E17"/>
  <c r="F77" i="11"/>
  <c r="E17"/>
  <c r="E31" i="14"/>
  <c r="E29"/>
  <c r="C25" i="15"/>
  <c r="E12"/>
  <c r="F87" i="16"/>
  <c r="F14"/>
  <c r="F90" i="17"/>
  <c r="E12"/>
  <c r="C4"/>
  <c r="E5"/>
  <c r="E20" i="18"/>
  <c r="E5" i="19"/>
  <c r="C4" i="14"/>
  <c r="F29" i="13"/>
  <c r="E73" i="9"/>
  <c r="DQ17" i="2"/>
  <c r="G21"/>
  <c r="F7" i="13"/>
  <c r="E65" i="10"/>
  <c r="BM15" i="2"/>
  <c r="N16"/>
  <c r="BM22"/>
  <c r="AX21"/>
  <c r="E34" i="8"/>
  <c r="E26" i="7"/>
  <c r="F65" i="16"/>
  <c r="CF26" i="2"/>
  <c r="EY24"/>
  <c r="E41" i="18"/>
  <c r="CZ28" i="2"/>
  <c r="D25" i="6"/>
  <c r="E68" i="4"/>
  <c r="F77" i="8"/>
  <c r="H20" i="1"/>
  <c r="CZ15" i="2"/>
  <c r="E66" i="6"/>
  <c r="AL27" i="2"/>
  <c r="AL25"/>
  <c r="T25"/>
  <c r="Z24"/>
  <c r="C4" i="7"/>
  <c r="C4" i="8"/>
  <c r="BY19" i="2"/>
  <c r="D4" i="10"/>
  <c r="C4" i="11"/>
  <c r="E14" i="15"/>
  <c r="F17" i="16"/>
  <c r="F86" i="19"/>
  <c r="E7" i="9"/>
  <c r="F26" i="17"/>
  <c r="AF24" i="2"/>
  <c r="AF16"/>
  <c r="F65" i="7"/>
  <c r="D4" i="5"/>
  <c r="E5" i="15"/>
  <c r="CF17" i="2"/>
  <c r="CF21"/>
  <c r="EJ18"/>
  <c r="F5" i="6"/>
  <c r="DQ22" i="2"/>
  <c r="BG20"/>
  <c r="AX17"/>
  <c r="E72" i="8"/>
  <c r="D98" i="11"/>
  <c r="F56"/>
  <c r="F57" i="9"/>
  <c r="E56" i="12"/>
  <c r="F58" i="17"/>
  <c r="DQ18" i="2"/>
  <c r="DX18"/>
  <c r="E56" i="11"/>
  <c r="F89" i="18"/>
  <c r="CF28" i="2"/>
  <c r="F14" i="18"/>
  <c r="E35"/>
  <c r="AC28" i="2"/>
  <c r="C89" i="18"/>
  <c r="EW28" i="2" s="1"/>
  <c r="EY28" s="1"/>
  <c r="F5" i="18"/>
  <c r="F35"/>
  <c r="F26"/>
  <c r="E12"/>
  <c r="E70" i="19"/>
  <c r="CF29" i="2"/>
  <c r="E37" i="18"/>
  <c r="E39" i="19"/>
  <c r="F17" i="17"/>
  <c r="DW31" i="2"/>
  <c r="D4" i="16"/>
  <c r="F7" i="18"/>
  <c r="CF27" i="2"/>
  <c r="CT27"/>
  <c r="DZ31"/>
  <c r="AM31"/>
  <c r="L31"/>
  <c r="L33" s="1"/>
  <c r="D97" i="16"/>
  <c r="EM27" i="2"/>
  <c r="DU26"/>
  <c r="CV31"/>
  <c r="CV33" s="1"/>
  <c r="D99" i="18"/>
  <c r="H35" i="1"/>
  <c r="H6"/>
  <c r="BX26" i="2"/>
  <c r="ES25"/>
  <c r="DP25"/>
  <c r="AC25"/>
  <c r="E83" i="15"/>
  <c r="D25"/>
  <c r="E64" i="14"/>
  <c r="AK31" i="2"/>
  <c r="AK33" s="1"/>
  <c r="CR31"/>
  <c r="D98" i="15"/>
  <c r="F77" i="14"/>
  <c r="E41"/>
  <c r="CF25" i="2"/>
  <c r="E81" i="15"/>
  <c r="DV31" i="2"/>
  <c r="DV33" s="1"/>
  <c r="DP24"/>
  <c r="F64" i="15"/>
  <c r="H24" i="1"/>
  <c r="CE32" i="2"/>
  <c r="CE33" s="1"/>
  <c r="ES26"/>
  <c r="F77" i="15"/>
  <c r="AF21" i="2"/>
  <c r="E77" i="8"/>
  <c r="AI15" i="2"/>
  <c r="FA14"/>
  <c r="FB14" s="1"/>
  <c r="EY17"/>
  <c r="E7" i="13"/>
  <c r="F34" i="9"/>
  <c r="E34" i="15"/>
  <c r="F95" i="18"/>
  <c r="DU17" i="2"/>
  <c r="F91" i="9"/>
  <c r="G36" i="1"/>
  <c r="G7"/>
  <c r="D7" s="1"/>
  <c r="BL29" i="2"/>
  <c r="EI26"/>
  <c r="EU25"/>
  <c r="EV25" s="1"/>
  <c r="T23"/>
  <c r="EI16"/>
  <c r="EJ16" s="1"/>
  <c r="F26" i="6"/>
  <c r="DP26" i="2"/>
  <c r="AT31"/>
  <c r="E63" i="16"/>
  <c r="E86" i="19"/>
  <c r="BC32" i="2"/>
  <c r="BC33" s="1"/>
  <c r="E66" i="12"/>
  <c r="F66"/>
  <c r="F81" i="15"/>
  <c r="F63" i="13"/>
  <c r="F72" i="8"/>
  <c r="C98"/>
  <c r="D98" i="14"/>
  <c r="E78" i="13"/>
  <c r="E20" i="12"/>
  <c r="F83" i="15"/>
  <c r="E92" i="5"/>
  <c r="F17" i="15"/>
  <c r="FA17" i="2"/>
  <c r="FB17" s="1"/>
  <c r="E83" i="6"/>
  <c r="F33"/>
  <c r="CQ17" i="2"/>
  <c r="E17" i="6"/>
  <c r="ER15" i="2"/>
  <c r="ES15" s="1"/>
  <c r="F37" i="10"/>
  <c r="N29" i="2"/>
  <c r="F26" i="7"/>
  <c r="E7" i="16"/>
  <c r="F26" i="15"/>
  <c r="E31" i="9"/>
  <c r="D4" i="15"/>
  <c r="AV29" i="2"/>
  <c r="AX29" s="1"/>
  <c r="E29" i="15"/>
  <c r="D25" i="9"/>
  <c r="F82" i="7"/>
  <c r="F34" i="15"/>
  <c r="E91" i="13"/>
  <c r="F17" i="18"/>
  <c r="DX14" i="2"/>
  <c r="F17" i="11"/>
  <c r="F83" i="6"/>
  <c r="F74" i="13"/>
  <c r="F80" i="16"/>
  <c r="F62" i="19"/>
  <c r="E14" i="18"/>
  <c r="F20" i="14"/>
  <c r="W25" i="2"/>
  <c r="CQ25"/>
  <c r="AF22"/>
  <c r="EQ20"/>
  <c r="ES20" s="1"/>
  <c r="EN16"/>
  <c r="EP16" s="1"/>
  <c r="E57" i="9"/>
  <c r="F7"/>
  <c r="E64" i="15"/>
  <c r="F78" i="13"/>
  <c r="E93" i="7"/>
  <c r="E5" i="6"/>
  <c r="D25" i="10"/>
  <c r="DT31" i="2"/>
  <c r="DT33" s="1"/>
  <c r="E37" i="12"/>
  <c r="F64"/>
  <c r="EI28" i="2"/>
  <c r="BA24"/>
  <c r="AX16"/>
  <c r="E64" i="6"/>
  <c r="DP18" i="2"/>
  <c r="F17" i="19"/>
  <c r="E29" i="4"/>
  <c r="E80" i="16"/>
  <c r="E99" i="9"/>
  <c r="DP19" i="2"/>
  <c r="F14" i="4"/>
  <c r="E77" i="15"/>
  <c r="E94"/>
  <c r="E82" i="12"/>
  <c r="E79" i="19"/>
  <c r="F30" i="10"/>
  <c r="E85"/>
  <c r="F66" i="8"/>
  <c r="E84" i="5"/>
  <c r="EY25" i="2"/>
  <c r="C4" i="13"/>
  <c r="F21" i="1"/>
  <c r="C21" s="1"/>
  <c r="F66" i="14"/>
  <c r="E95" i="18"/>
  <c r="F34" i="19"/>
  <c r="CQ29" i="2"/>
  <c r="DU24"/>
  <c r="CQ24"/>
  <c r="BA23"/>
  <c r="CY31"/>
  <c r="BA20"/>
  <c r="EH17"/>
  <c r="EJ17" s="1"/>
  <c r="AF15"/>
  <c r="EK14"/>
  <c r="EM14" s="1"/>
  <c r="E29" i="13"/>
  <c r="F12"/>
  <c r="E65" i="18"/>
  <c r="AX28" i="2"/>
  <c r="DX17"/>
  <c r="AO25"/>
  <c r="AC24"/>
  <c r="EK29"/>
  <c r="EM29" s="1"/>
  <c r="CT29"/>
  <c r="AL16"/>
  <c r="F96" i="6"/>
  <c r="T28" i="2"/>
  <c r="D97" i="7"/>
  <c r="AO28" i="2"/>
  <c r="CT21"/>
  <c r="N14"/>
  <c r="EG28"/>
  <c r="CQ21"/>
  <c r="F56" i="6"/>
  <c r="F7"/>
  <c r="DS31" i="2"/>
  <c r="DS33" s="1"/>
  <c r="CK26"/>
  <c r="CG26"/>
  <c r="CG29"/>
  <c r="CG28"/>
  <c r="CG27"/>
  <c r="CU31"/>
  <c r="CU33" s="1"/>
  <c r="CG24"/>
  <c r="EV22"/>
  <c r="CL31"/>
  <c r="CL33" s="1"/>
  <c r="CG22"/>
  <c r="AJ31"/>
  <c r="R31"/>
  <c r="R33" s="1"/>
  <c r="AI22"/>
  <c r="CG21"/>
  <c r="CG18"/>
  <c r="BG19"/>
  <c r="CG25"/>
  <c r="CG20"/>
  <c r="CG19"/>
  <c r="CG16"/>
  <c r="CG15"/>
  <c r="CG14"/>
  <c r="G20"/>
  <c r="AL22"/>
  <c r="CK20"/>
  <c r="S31"/>
  <c r="V31"/>
  <c r="E37" i="7"/>
  <c r="F37"/>
  <c r="E56" i="6"/>
  <c r="E55" i="7"/>
  <c r="F55"/>
  <c r="F39" i="19"/>
  <c r="EG17" i="2"/>
  <c r="F14" i="5"/>
  <c r="FB19" i="2"/>
  <c r="E26" i="9"/>
  <c r="E32" i="10"/>
  <c r="F5"/>
  <c r="E74" i="13"/>
  <c r="F90" i="6"/>
  <c r="H38" i="1"/>
  <c r="CN18" i="2"/>
  <c r="F17" i="10"/>
  <c r="F56" i="12"/>
  <c r="CN14" i="2"/>
  <c r="F12" i="14"/>
  <c r="F12" i="17"/>
  <c r="E5" i="18"/>
  <c r="E7" i="14"/>
  <c r="E7" i="15"/>
  <c r="Z22" i="2"/>
  <c r="F5" i="8"/>
  <c r="F32" i="1"/>
  <c r="BX15" i="2"/>
  <c r="F38" i="5"/>
  <c r="E82" i="7"/>
  <c r="ET17" i="2"/>
  <c r="EV17" s="1"/>
  <c r="F36" i="8"/>
  <c r="BW18" i="2"/>
  <c r="BY18" s="1"/>
  <c r="E26" i="8"/>
  <c r="D25"/>
  <c r="E12" i="13"/>
  <c r="DP22" i="2"/>
  <c r="BY22"/>
  <c r="E26" i="4"/>
  <c r="F26"/>
  <c r="C4" i="15"/>
  <c r="E65" i="16"/>
  <c r="EH26" i="2"/>
  <c r="F7" i="17"/>
  <c r="E7"/>
  <c r="F33" i="1"/>
  <c r="C33" s="1"/>
  <c r="F73" i="4"/>
  <c r="EO14" i="2"/>
  <c r="EP14" s="1"/>
  <c r="AF29"/>
  <c r="DU28"/>
  <c r="AF27"/>
  <c r="BA27"/>
  <c r="BA26"/>
  <c r="DX24"/>
  <c r="AL24"/>
  <c r="AF23"/>
  <c r="AL23"/>
  <c r="CQ20"/>
  <c r="BA16"/>
  <c r="CQ15"/>
  <c r="N15"/>
  <c r="F12" i="4"/>
  <c r="E74" i="5"/>
  <c r="E80" i="7"/>
  <c r="F7" i="14"/>
  <c r="F5" i="15"/>
  <c r="F7"/>
  <c r="F63" i="16"/>
  <c r="E31" i="19"/>
  <c r="E68" i="17"/>
  <c r="BA28" i="2"/>
  <c r="AX14"/>
  <c r="AX25"/>
  <c r="BG14"/>
  <c r="F14"/>
  <c r="CK24"/>
  <c r="Z21"/>
  <c r="F12" i="19"/>
  <c r="F41" i="12"/>
  <c r="E41"/>
  <c r="F40" i="17"/>
  <c r="E40"/>
  <c r="AL29" i="2"/>
  <c r="E14" i="11"/>
  <c r="D4"/>
  <c r="E7" i="7"/>
  <c r="C71"/>
  <c r="EK17" i="2" s="1"/>
  <c r="F15" i="1"/>
  <c r="CK27" i="2"/>
  <c r="Z23"/>
  <c r="ED15"/>
  <c r="EV14"/>
  <c r="F30" i="6"/>
  <c r="D100" i="10"/>
  <c r="G18" i="1"/>
  <c r="N23" i="2"/>
  <c r="EB31"/>
  <c r="CP31"/>
  <c r="CP33" s="1"/>
  <c r="EP25"/>
  <c r="E40" i="7"/>
  <c r="F70" i="19"/>
  <c r="AR24" i="2"/>
  <c r="CF20"/>
  <c r="E77" i="14"/>
  <c r="DG32" i="2"/>
  <c r="DG33" s="1"/>
  <c r="EV29"/>
  <c r="EY27"/>
  <c r="DQ25"/>
  <c r="BM23"/>
  <c r="E36" i="9"/>
  <c r="F47" i="17"/>
  <c r="F36"/>
  <c r="E72" i="12"/>
  <c r="AI26" i="2"/>
  <c r="EA24"/>
  <c r="CN24"/>
  <c r="AU19"/>
  <c r="T19"/>
  <c r="EA18"/>
  <c r="E85" i="6"/>
  <c r="F17" i="9"/>
  <c r="F83" i="10"/>
  <c r="E5"/>
  <c r="E85" i="13"/>
  <c r="F82" i="16"/>
  <c r="G24" i="2"/>
  <c r="E9" i="1"/>
  <c r="AQ31" i="2"/>
  <c r="EK22"/>
  <c r="EM22" s="1"/>
  <c r="E74" i="17"/>
  <c r="BD31" i="2"/>
  <c r="BY29"/>
  <c r="EG26"/>
  <c r="ED26"/>
  <c r="DQ26"/>
  <c r="AO26"/>
  <c r="EA23"/>
  <c r="W21"/>
  <c r="AO21"/>
  <c r="W18"/>
  <c r="EA17"/>
  <c r="AD31"/>
  <c r="AD33" s="1"/>
  <c r="X31"/>
  <c r="X33" s="1"/>
  <c r="EG16"/>
  <c r="CK16"/>
  <c r="W16"/>
  <c r="E87" i="5"/>
  <c r="F64" i="6"/>
  <c r="F36"/>
  <c r="E29" i="7"/>
  <c r="E17"/>
  <c r="F64" i="8"/>
  <c r="E31"/>
  <c r="F29" i="11"/>
  <c r="E84" i="12"/>
  <c r="ES24" i="2"/>
  <c r="D25" i="14"/>
  <c r="F84" i="18"/>
  <c r="F37"/>
  <c r="F20"/>
  <c r="D4"/>
  <c r="E60" i="4"/>
  <c r="F41" i="18"/>
  <c r="AI25" i="2"/>
  <c r="Y31"/>
  <c r="F88" i="15"/>
  <c r="H34" i="1"/>
  <c r="H12"/>
  <c r="E81" i="14"/>
  <c r="G27" i="2"/>
  <c r="CM31"/>
  <c r="CM33" s="1"/>
  <c r="CS31"/>
  <c r="CS33" s="1"/>
  <c r="AH31"/>
  <c r="EQ17"/>
  <c r="ES17" s="1"/>
  <c r="T17"/>
  <c r="EJ22"/>
  <c r="ES29"/>
  <c r="F92" i="5"/>
  <c r="EV19" i="2"/>
  <c r="F20" i="12"/>
  <c r="BY16" i="2"/>
  <c r="CI31"/>
  <c r="CI33" s="1"/>
  <c r="H39" i="1"/>
  <c r="DF31" i="2"/>
  <c r="DH31"/>
  <c r="CD32"/>
  <c r="CD33" s="1"/>
  <c r="Z29"/>
  <c r="FB28"/>
  <c r="AI28"/>
  <c r="Z27"/>
  <c r="ED24"/>
  <c r="ED23"/>
  <c r="DX23"/>
  <c r="AC23"/>
  <c r="CK22"/>
  <c r="ED21"/>
  <c r="BM21"/>
  <c r="AO20"/>
  <c r="AC20"/>
  <c r="W20"/>
  <c r="T20"/>
  <c r="CT19"/>
  <c r="AS31"/>
  <c r="AS32" s="1"/>
  <c r="AS33" s="1"/>
  <c r="AO19"/>
  <c r="AI19"/>
  <c r="ED18"/>
  <c r="ED17"/>
  <c r="CK17"/>
  <c r="AI17"/>
  <c r="Z17"/>
  <c r="Z16"/>
  <c r="T16"/>
  <c r="W15"/>
  <c r="T15"/>
  <c r="DP14"/>
  <c r="CT14"/>
  <c r="AO14"/>
  <c r="F29" i="4"/>
  <c r="E5"/>
  <c r="E58" i="5"/>
  <c r="D25"/>
  <c r="E30" i="6"/>
  <c r="E5" i="7"/>
  <c r="E20" i="8"/>
  <c r="E12"/>
  <c r="E14" i="9"/>
  <c r="F32" i="10"/>
  <c r="F26"/>
  <c r="F88" i="11"/>
  <c r="E29"/>
  <c r="F31" i="14"/>
  <c r="E93" i="16"/>
  <c r="F85" i="17"/>
  <c r="E58"/>
  <c r="E20"/>
  <c r="F79" i="19"/>
  <c r="F20"/>
  <c r="H40" i="1"/>
  <c r="BM27" i="2"/>
  <c r="BK31"/>
  <c r="BK33" s="1"/>
  <c r="E36" i="7"/>
  <c r="F36"/>
  <c r="BW17" i="2"/>
  <c r="BY17" s="1"/>
  <c r="EF31"/>
  <c r="EF33" s="1"/>
  <c r="FB26"/>
  <c r="DP23"/>
  <c r="AL17"/>
  <c r="CN16"/>
  <c r="EG15"/>
  <c r="CF15"/>
  <c r="E64" i="8"/>
  <c r="F90" i="10"/>
  <c r="F14"/>
  <c r="F84" i="12"/>
  <c r="F5" i="13"/>
  <c r="F83" i="14"/>
  <c r="E26" i="15"/>
  <c r="F12"/>
  <c r="E31" i="16"/>
  <c r="F20" i="17"/>
  <c r="F65" i="18"/>
  <c r="E20" i="19"/>
  <c r="AF26" i="2"/>
  <c r="E61" i="13"/>
  <c r="F40" i="16"/>
  <c r="E41" i="10"/>
  <c r="ES16" i="2"/>
  <c r="CT26"/>
  <c r="EV24"/>
  <c r="ES22"/>
  <c r="EG22"/>
  <c r="CT22"/>
  <c r="EA21"/>
  <c r="EJ20"/>
  <c r="EG19"/>
  <c r="AO15"/>
  <c r="Z15"/>
  <c r="Z14"/>
  <c r="EV20"/>
  <c r="F14" i="15"/>
  <c r="E5" i="16"/>
  <c r="C23" i="13"/>
  <c r="E66" i="5"/>
  <c r="AF18" i="2"/>
  <c r="F68" i="4"/>
  <c r="DY31" i="2"/>
  <c r="DY33" s="1"/>
  <c r="CN15"/>
  <c r="AI14"/>
  <c r="E30" i="5"/>
  <c r="F20" i="7"/>
  <c r="F29" i="14"/>
  <c r="F12" i="18"/>
  <c r="C4"/>
  <c r="F7" i="4"/>
  <c r="BA15" i="2"/>
  <c r="F33" i="5"/>
  <c r="BG28" i="2"/>
  <c r="EG27"/>
  <c r="AL26"/>
  <c r="W26"/>
  <c r="EA25"/>
  <c r="CT24"/>
  <c r="EY23"/>
  <c r="FB21"/>
  <c r="AI21"/>
  <c r="EG20"/>
  <c r="EA20"/>
  <c r="CT20"/>
  <c r="CN20"/>
  <c r="EY15"/>
  <c r="F84" i="4"/>
  <c r="E14" i="5"/>
  <c r="F89" i="8"/>
  <c r="F12"/>
  <c r="C25" i="10"/>
  <c r="E83" i="11"/>
  <c r="BX28" i="2"/>
  <c r="G28" s="1"/>
  <c r="N28"/>
  <c r="N24"/>
  <c r="F66" i="15"/>
  <c r="BH31" i="2"/>
  <c r="BJ14"/>
  <c r="G41" i="1"/>
  <c r="F5"/>
  <c r="C5" s="1"/>
  <c r="E12" i="5"/>
  <c r="F12"/>
  <c r="C25" i="7"/>
  <c r="F17" i="8"/>
  <c r="D4"/>
  <c r="EN19" i="2"/>
  <c r="EP19" s="1"/>
  <c r="F78" i="9"/>
  <c r="E5"/>
  <c r="F5"/>
  <c r="E78" i="10"/>
  <c r="EO20" i="2"/>
  <c r="EO21"/>
  <c r="EP21" s="1"/>
  <c r="E77" i="11"/>
  <c r="E31"/>
  <c r="E26"/>
  <c r="F26"/>
  <c r="E32" i="12"/>
  <c r="F32"/>
  <c r="E33" i="13"/>
  <c r="BX23" i="2"/>
  <c r="BY23" s="1"/>
  <c r="F33" i="13"/>
  <c r="E14"/>
  <c r="F14"/>
  <c r="F20" i="16"/>
  <c r="E20"/>
  <c r="E29" i="17"/>
  <c r="F29"/>
  <c r="E62" i="19"/>
  <c r="EE29" i="2"/>
  <c r="EG29" s="1"/>
  <c r="EQ18"/>
  <c r="E81" i="8"/>
  <c r="C25"/>
  <c r="F26"/>
  <c r="G16" i="1"/>
  <c r="D16" s="1"/>
  <c r="E67" i="9"/>
  <c r="EI19" i="2"/>
  <c r="F67" i="9"/>
  <c r="E66" i="11"/>
  <c r="F66"/>
  <c r="EI21" i="2"/>
  <c r="E77" i="4"/>
  <c r="EQ14" i="2"/>
  <c r="F77" i="4"/>
  <c r="C72" i="15"/>
  <c r="C98" s="1"/>
  <c r="E75"/>
  <c r="C71" i="16"/>
  <c r="F72"/>
  <c r="E72"/>
  <c r="C83" i="17"/>
  <c r="E83" s="1"/>
  <c r="F84"/>
  <c r="E84"/>
  <c r="E77" i="18"/>
  <c r="C73"/>
  <c r="F77"/>
  <c r="E64"/>
  <c r="C57"/>
  <c r="F64"/>
  <c r="C75" i="19"/>
  <c r="C96" s="1"/>
  <c r="F78"/>
  <c r="H11" i="1"/>
  <c r="D100" i="6"/>
  <c r="F93" i="9"/>
  <c r="E90" i="10"/>
  <c r="FB23" i="2"/>
  <c r="F66" i="5"/>
  <c r="E32" i="18"/>
  <c r="CQ18" i="2"/>
  <c r="G13" i="1"/>
  <c r="D13" s="1"/>
  <c r="BL14" i="2"/>
  <c r="E31" i="4"/>
  <c r="E5" i="5"/>
  <c r="F5"/>
  <c r="EZ16" i="2"/>
  <c r="E96" i="6"/>
  <c r="E14"/>
  <c r="D4"/>
  <c r="F14"/>
  <c r="EW19" i="2"/>
  <c r="E93" i="9"/>
  <c r="EK19" i="2"/>
  <c r="C103" i="9"/>
  <c r="F96" i="10"/>
  <c r="FA20" i="2"/>
  <c r="E96" i="10"/>
  <c r="E57"/>
  <c r="F36" i="11"/>
  <c r="BW21" i="2"/>
  <c r="BY21" s="1"/>
  <c r="E36" i="11"/>
  <c r="E37" i="15"/>
  <c r="BW25" i="2"/>
  <c r="F25" s="1"/>
  <c r="F37" i="15"/>
  <c r="EH28" i="2"/>
  <c r="F67" i="18"/>
  <c r="EZ29" i="2"/>
  <c r="FB29" s="1"/>
  <c r="F92" i="19"/>
  <c r="F37" i="1"/>
  <c r="E12" i="11"/>
  <c r="F12"/>
  <c r="EK15" i="2"/>
  <c r="F74" i="5"/>
  <c r="D100" i="17"/>
  <c r="E66"/>
  <c r="F66"/>
  <c r="F76" i="16"/>
  <c r="E76"/>
  <c r="EO26" i="2"/>
  <c r="E54" i="19"/>
  <c r="F54"/>
  <c r="E82" i="18"/>
  <c r="ER28" i="2"/>
  <c r="ES28" s="1"/>
  <c r="F82" i="18"/>
  <c r="F39" i="4"/>
  <c r="E75" i="6"/>
  <c r="C72"/>
  <c r="F75"/>
  <c r="E73" i="7"/>
  <c r="F73"/>
  <c r="F79"/>
  <c r="C76"/>
  <c r="CX31" i="2"/>
  <c r="CX33" s="1"/>
  <c r="CZ19"/>
  <c r="F74" i="17"/>
  <c r="CT28" i="2"/>
  <c r="F31" i="8"/>
  <c r="E17" i="9"/>
  <c r="F31" i="11"/>
  <c r="C95" i="13"/>
  <c r="F88" i="14"/>
  <c r="C25"/>
  <c r="E14" i="16"/>
  <c r="D103" i="9"/>
  <c r="EY22" i="2"/>
  <c r="DQ16"/>
  <c r="ED16"/>
  <c r="F19" i="1"/>
  <c r="C19" s="1"/>
  <c r="F7"/>
  <c r="C7" s="1"/>
  <c r="EN15" i="2"/>
  <c r="F79" i="5"/>
  <c r="E79"/>
  <c r="E14" i="7"/>
  <c r="F14"/>
  <c r="BE18" i="2"/>
  <c r="F29" i="8"/>
  <c r="E29"/>
  <c r="E83" i="9"/>
  <c r="F83"/>
  <c r="ER19" i="2"/>
  <c r="F12" i="10"/>
  <c r="C4"/>
  <c r="F64" i="11"/>
  <c r="E20"/>
  <c r="F20"/>
  <c r="E5"/>
  <c r="F5"/>
  <c r="F17" i="12"/>
  <c r="C4"/>
  <c r="E17"/>
  <c r="F80" i="13"/>
  <c r="EU23" i="2"/>
  <c r="EV23" s="1"/>
  <c r="E80" i="13"/>
  <c r="EK23" i="2"/>
  <c r="F69" i="13"/>
  <c r="F56" i="14"/>
  <c r="E56"/>
  <c r="E12"/>
  <c r="D4"/>
  <c r="ER27" i="2"/>
  <c r="D4" i="17"/>
  <c r="F14"/>
  <c r="E14"/>
  <c r="F30" i="18"/>
  <c r="E30"/>
  <c r="C25"/>
  <c r="E14" i="19"/>
  <c r="F14"/>
  <c r="F73" i="9"/>
  <c r="EL19" i="2"/>
  <c r="E52" i="4"/>
  <c r="F52"/>
  <c r="DQ20" i="2"/>
  <c r="DX20"/>
  <c r="DU14"/>
  <c r="DQ14"/>
  <c r="F35" i="12"/>
  <c r="E35"/>
  <c r="E37" i="13"/>
  <c r="F37"/>
  <c r="E7" i="5"/>
  <c r="F7"/>
  <c r="EH27" i="2"/>
  <c r="F68" i="17"/>
  <c r="E13" i="7"/>
  <c r="AE17" i="2"/>
  <c r="F13" i="7"/>
  <c r="AE19" i="2"/>
  <c r="G19" s="1"/>
  <c r="E13" i="9"/>
  <c r="D12"/>
  <c r="F95" i="8"/>
  <c r="CK23" i="2"/>
  <c r="N22"/>
  <c r="E17" i="5"/>
  <c r="F17"/>
  <c r="E63" i="7"/>
  <c r="F63"/>
  <c r="F84" i="8"/>
  <c r="E84"/>
  <c r="EU18" i="2"/>
  <c r="E29" i="9"/>
  <c r="F29"/>
  <c r="EL20" i="2"/>
  <c r="F14" i="12"/>
  <c r="D4"/>
  <c r="E27" i="13"/>
  <c r="F27"/>
  <c r="E94" i="14"/>
  <c r="F94"/>
  <c r="EZ24" i="2"/>
  <c r="FB24" s="1"/>
  <c r="E14" i="14"/>
  <c r="F14"/>
  <c r="E85" i="17"/>
  <c r="ET27" i="2"/>
  <c r="EV27" s="1"/>
  <c r="E78" i="18"/>
  <c r="EN28" i="2"/>
  <c r="EP28" s="1"/>
  <c r="F78" i="18"/>
  <c r="E81" i="19"/>
  <c r="F81"/>
  <c r="EH29" i="2"/>
  <c r="EJ29" s="1"/>
  <c r="E64" i="19"/>
  <c r="F64"/>
  <c r="C4"/>
  <c r="F5"/>
  <c r="F65" i="10"/>
  <c r="EL17" i="2"/>
  <c r="EI14"/>
  <c r="F62" i="4"/>
  <c r="E62"/>
  <c r="CO31" i="2"/>
  <c r="CO33" s="1"/>
  <c r="CQ16"/>
  <c r="DC14"/>
  <c r="DB31"/>
  <c r="F75" i="10"/>
  <c r="C73"/>
  <c r="EK20" i="2" s="1"/>
  <c r="F73" i="11"/>
  <c r="C72"/>
  <c r="C81"/>
  <c r="E82"/>
  <c r="E70" i="13"/>
  <c r="F70"/>
  <c r="C72" i="14"/>
  <c r="F75"/>
  <c r="F99" i="9"/>
  <c r="D25" i="7"/>
  <c r="BG21" i="2"/>
  <c r="BG15"/>
  <c r="ES23"/>
  <c r="EV28"/>
  <c r="CQ26"/>
  <c r="DU25"/>
  <c r="EG24"/>
  <c r="DX21"/>
  <c r="AR21"/>
  <c r="ED20"/>
  <c r="N20"/>
  <c r="AL19"/>
  <c r="AL18"/>
  <c r="T18"/>
  <c r="CT17"/>
  <c r="W17"/>
  <c r="AX26"/>
  <c r="H31" i="1"/>
  <c r="DP29" i="2"/>
  <c r="CN29"/>
  <c r="T29"/>
  <c r="EA28"/>
  <c r="EA27"/>
  <c r="DU27"/>
  <c r="AI27"/>
  <c r="DX26"/>
  <c r="BM26"/>
  <c r="DX25"/>
  <c r="BM25"/>
  <c r="Z25"/>
  <c r="CT25"/>
  <c r="EJ24"/>
  <c r="EP23"/>
  <c r="W23"/>
  <c r="FB22"/>
  <c r="EA22"/>
  <c r="AO22"/>
  <c r="AI20"/>
  <c r="CK19"/>
  <c r="Z19"/>
  <c r="AA31"/>
  <c r="AA32" s="1"/>
  <c r="AA33" s="1"/>
  <c r="CN17"/>
  <c r="BM17"/>
  <c r="AC17"/>
  <c r="DU16"/>
  <c r="AC14"/>
  <c r="W14"/>
  <c r="BY20"/>
  <c r="H17" i="1"/>
  <c r="ED29" i="2"/>
  <c r="CK29"/>
  <c r="DQ28"/>
  <c r="CN28"/>
  <c r="Z28"/>
  <c r="W28"/>
  <c r="DX27"/>
  <c r="EA26"/>
  <c r="CN26"/>
  <c r="BM24"/>
  <c r="ED22"/>
  <c r="EY21"/>
  <c r="DU21"/>
  <c r="CN21"/>
  <c r="CK21"/>
  <c r="BM20"/>
  <c r="Z20"/>
  <c r="DX19"/>
  <c r="AC19"/>
  <c r="DP17"/>
  <c r="CJ31"/>
  <c r="BM16"/>
  <c r="EG14"/>
  <c r="EA14"/>
  <c r="T14"/>
  <c r="AX15"/>
  <c r="CZ26"/>
  <c r="AX27"/>
  <c r="E11" i="1"/>
  <c r="BN32" i="2"/>
  <c r="BN33" s="1"/>
  <c r="BP31"/>
  <c r="DK32"/>
  <c r="DK33" s="1"/>
  <c r="DP28"/>
  <c r="DP27"/>
  <c r="EC31"/>
  <c r="EC33" s="1"/>
  <c r="AN31"/>
  <c r="AN33" s="1"/>
  <c r="EM18"/>
  <c r="DQ27"/>
  <c r="DP21"/>
  <c r="F30" i="1" l="1"/>
  <c r="H18"/>
  <c r="D18"/>
  <c r="H32"/>
  <c r="C32"/>
  <c r="H15"/>
  <c r="C15"/>
  <c r="G29" i="2"/>
  <c r="D29" s="1"/>
  <c r="FD29" s="1"/>
  <c r="CY33"/>
  <c r="BA19"/>
  <c r="AY31"/>
  <c r="AY33" s="1"/>
  <c r="F24"/>
  <c r="C24" s="1"/>
  <c r="F29"/>
  <c r="C29" s="1"/>
  <c r="F21"/>
  <c r="F18"/>
  <c r="F17"/>
  <c r="C17" s="1"/>
  <c r="C100" i="17"/>
  <c r="BV15" i="2"/>
  <c r="D38" i="19"/>
  <c r="D49" s="1"/>
  <c r="D50" s="1"/>
  <c r="D39" i="16"/>
  <c r="D50" s="1"/>
  <c r="CJ33" i="2"/>
  <c r="AH33"/>
  <c r="Y33"/>
  <c r="S33"/>
  <c r="AJ33"/>
  <c r="CR33"/>
  <c r="AM33"/>
  <c r="DW33"/>
  <c r="EX33"/>
  <c r="EB33"/>
  <c r="V33"/>
  <c r="AW33"/>
  <c r="G18"/>
  <c r="D18" s="1"/>
  <c r="AZ31"/>
  <c r="AZ33" s="1"/>
  <c r="C41" i="5"/>
  <c r="C53" s="1"/>
  <c r="C54" s="1"/>
  <c r="D40" i="18"/>
  <c r="D52" s="1"/>
  <c r="BY15" i="2"/>
  <c r="G15"/>
  <c r="D15" s="1"/>
  <c r="CH29"/>
  <c r="E25" i="15"/>
  <c r="EJ26" i="2"/>
  <c r="BT31"/>
  <c r="E25" i="5"/>
  <c r="E4" i="13"/>
  <c r="DF32" i="2"/>
  <c r="DF33" s="1"/>
  <c r="E25" i="16"/>
  <c r="BY26" i="2"/>
  <c r="F4" i="16"/>
  <c r="E36"/>
  <c r="F36"/>
  <c r="E4" i="10"/>
  <c r="D40"/>
  <c r="D52" s="1"/>
  <c r="CH18" i="2"/>
  <c r="CH23"/>
  <c r="E4" i="16"/>
  <c r="C40" i="14"/>
  <c r="C51" s="1"/>
  <c r="F4" i="13"/>
  <c r="E25" i="12"/>
  <c r="E71" i="7"/>
  <c r="C41" i="6"/>
  <c r="C51" s="1"/>
  <c r="G16" i="2"/>
  <c r="D16" s="1"/>
  <c r="BU31"/>
  <c r="BU33" s="1"/>
  <c r="E4" i="5"/>
  <c r="F4" i="4"/>
  <c r="D47"/>
  <c r="DM20" i="2"/>
  <c r="DR23"/>
  <c r="DR19"/>
  <c r="BS31"/>
  <c r="EE31"/>
  <c r="EY26"/>
  <c r="D40" i="14"/>
  <c r="AR31" i="2"/>
  <c r="AR33" s="1"/>
  <c r="DR24"/>
  <c r="H20"/>
  <c r="C19"/>
  <c r="BR32"/>
  <c r="BR33" s="1"/>
  <c r="F98" i="8"/>
  <c r="CH16" i="2"/>
  <c r="DM14"/>
  <c r="H33" i="1"/>
  <c r="BQ32" i="2"/>
  <c r="BQ33" s="1"/>
  <c r="C16"/>
  <c r="CH19"/>
  <c r="C28"/>
  <c r="BF31"/>
  <c r="E4" i="11"/>
  <c r="F25" i="9"/>
  <c r="F71" i="7"/>
  <c r="E25" i="6"/>
  <c r="F4" i="5"/>
  <c r="C23" i="2"/>
  <c r="E25" i="19"/>
  <c r="DR29" i="2"/>
  <c r="C39" i="17"/>
  <c r="C53" s="1"/>
  <c r="DR26" i="2"/>
  <c r="BG25"/>
  <c r="F25" i="15"/>
  <c r="DN22" i="2"/>
  <c r="F25" i="12"/>
  <c r="F4" i="11"/>
  <c r="F102" i="5"/>
  <c r="E4" i="4"/>
  <c r="F94"/>
  <c r="CH26" i="2"/>
  <c r="DR18"/>
  <c r="DR15"/>
  <c r="F25" i="19"/>
  <c r="BM29" i="2"/>
  <c r="C26"/>
  <c r="DN25"/>
  <c r="CH25"/>
  <c r="CH24"/>
  <c r="G22"/>
  <c r="H22" s="1"/>
  <c r="C40" i="12"/>
  <c r="C51" s="1"/>
  <c r="C39" i="11"/>
  <c r="C51" s="1"/>
  <c r="CH17" i="2"/>
  <c r="C39" i="7"/>
  <c r="C50" s="1"/>
  <c r="DR17" i="2"/>
  <c r="F25" i="6"/>
  <c r="AU31" i="2"/>
  <c r="AT32"/>
  <c r="AT33" s="1"/>
  <c r="E102" i="5"/>
  <c r="C15" i="2"/>
  <c r="C47" i="4"/>
  <c r="E94"/>
  <c r="DN15" i="2"/>
  <c r="CH20"/>
  <c r="C22"/>
  <c r="CH14"/>
  <c r="D28"/>
  <c r="H28"/>
  <c r="CH27"/>
  <c r="F4" i="15"/>
  <c r="DZ33" i="2"/>
  <c r="CH28"/>
  <c r="E89" i="18"/>
  <c r="CF31" i="2"/>
  <c r="EA31"/>
  <c r="D27"/>
  <c r="DU31"/>
  <c r="CW31"/>
  <c r="T31"/>
  <c r="G4" i="1"/>
  <c r="G26" i="2"/>
  <c r="D26" s="1"/>
  <c r="AL31"/>
  <c r="DX31"/>
  <c r="E4" i="15"/>
  <c r="D40"/>
  <c r="D51" s="1"/>
  <c r="DR25" i="2"/>
  <c r="DN16"/>
  <c r="EJ28"/>
  <c r="F25" i="10"/>
  <c r="D25" i="2"/>
  <c r="AV31"/>
  <c r="H36" i="1"/>
  <c r="D36"/>
  <c r="E36" s="1"/>
  <c r="N31" i="2"/>
  <c r="BW31"/>
  <c r="DM18"/>
  <c r="D39" i="11"/>
  <c r="D51" s="1"/>
  <c r="DM23" i="2"/>
  <c r="C36" i="13"/>
  <c r="C48" s="1"/>
  <c r="E98" i="8"/>
  <c r="D20" i="2"/>
  <c r="W31"/>
  <c r="D24"/>
  <c r="E25" i="9"/>
  <c r="ES18" i="2"/>
  <c r="C20"/>
  <c r="C14"/>
  <c r="AF19"/>
  <c r="DM22"/>
  <c r="DR16"/>
  <c r="DN28"/>
  <c r="ET31"/>
  <c r="BY28"/>
  <c r="C40" i="15"/>
  <c r="DR22" i="2"/>
  <c r="EM19"/>
  <c r="D41" i="5"/>
  <c r="Z31" i="2"/>
  <c r="F98" i="12"/>
  <c r="E98"/>
  <c r="CN31" i="2"/>
  <c r="DQ31"/>
  <c r="AQ33"/>
  <c r="BD32"/>
  <c r="BD33" s="1"/>
  <c r="F25" i="5"/>
  <c r="CT31" i="2"/>
  <c r="C40" i="18"/>
  <c r="C52" s="1"/>
  <c r="AI31" i="2"/>
  <c r="AC31"/>
  <c r="CK31"/>
  <c r="BA18"/>
  <c r="DN20"/>
  <c r="DI31"/>
  <c r="DH32"/>
  <c r="DH33" s="1"/>
  <c r="CH15"/>
  <c r="F4" i="18"/>
  <c r="E4"/>
  <c r="DR28" i="2"/>
  <c r="E25" i="18"/>
  <c r="E25" i="10"/>
  <c r="C39" i="9"/>
  <c r="E73" i="10"/>
  <c r="C27" i="2"/>
  <c r="H27"/>
  <c r="EK24"/>
  <c r="E72" i="14"/>
  <c r="F72"/>
  <c r="C98"/>
  <c r="EQ21" i="2"/>
  <c r="ES21" s="1"/>
  <c r="F81" i="11"/>
  <c r="E81"/>
  <c r="DN14" i="2"/>
  <c r="DR14"/>
  <c r="EK16"/>
  <c r="C100" i="6"/>
  <c r="E72"/>
  <c r="FB16" i="2"/>
  <c r="EZ31"/>
  <c r="F73" i="18"/>
  <c r="E73"/>
  <c r="EK28" i="2"/>
  <c r="EM28" s="1"/>
  <c r="F25" i="7"/>
  <c r="E25"/>
  <c r="F72" i="11"/>
  <c r="E72"/>
  <c r="EK21" i="2"/>
  <c r="EM21" s="1"/>
  <c r="C98" i="11"/>
  <c r="DC31" i="2"/>
  <c r="DB33"/>
  <c r="E4" i="12"/>
  <c r="D40"/>
  <c r="F4"/>
  <c r="F12" i="9"/>
  <c r="E12"/>
  <c r="D4"/>
  <c r="AE31" i="2"/>
  <c r="AE33" s="1"/>
  <c r="G17"/>
  <c r="AF17"/>
  <c r="F4" i="10"/>
  <c r="C40"/>
  <c r="EP15" i="2"/>
  <c r="F14" i="1"/>
  <c r="EM15" i="2"/>
  <c r="DM15"/>
  <c r="E4" i="6"/>
  <c r="D41"/>
  <c r="F4"/>
  <c r="G14" i="2"/>
  <c r="BM14"/>
  <c r="BL31"/>
  <c r="BL33" s="1"/>
  <c r="F57" i="18"/>
  <c r="E57"/>
  <c r="C99"/>
  <c r="EK25" i="2"/>
  <c r="E72" i="15"/>
  <c r="F72"/>
  <c r="EJ21" i="2"/>
  <c r="DN21"/>
  <c r="EJ19"/>
  <c r="DN19"/>
  <c r="E25" i="11"/>
  <c r="F25"/>
  <c r="EP20" i="2"/>
  <c r="EO31"/>
  <c r="EO33" s="1"/>
  <c r="EM23"/>
  <c r="EM20"/>
  <c r="F95" i="13"/>
  <c r="EH31" i="2"/>
  <c r="EH33" s="1"/>
  <c r="DM19"/>
  <c r="EJ27"/>
  <c r="CQ31"/>
  <c r="DN17"/>
  <c r="EM17"/>
  <c r="EL31"/>
  <c r="EL33" s="1"/>
  <c r="EU31"/>
  <c r="EU33" s="1"/>
  <c r="EV18"/>
  <c r="BG18"/>
  <c r="BE31"/>
  <c r="BE33" s="1"/>
  <c r="C37" i="1"/>
  <c r="E37" s="1"/>
  <c r="H37"/>
  <c r="F4"/>
  <c r="H5"/>
  <c r="EJ14" i="2"/>
  <c r="EI31"/>
  <c r="EI33" s="1"/>
  <c r="D19"/>
  <c r="H19"/>
  <c r="D4" i="7"/>
  <c r="F12"/>
  <c r="E12"/>
  <c r="D39" i="17"/>
  <c r="F4"/>
  <c r="E4"/>
  <c r="E4" i="14"/>
  <c r="F4"/>
  <c r="ES19" i="2"/>
  <c r="ER31"/>
  <c r="ER33" s="1"/>
  <c r="F103" i="9"/>
  <c r="E103"/>
  <c r="E76" i="7"/>
  <c r="F76"/>
  <c r="C97"/>
  <c r="EN17" i="2"/>
  <c r="EP17" s="1"/>
  <c r="EY19"/>
  <c r="EW31"/>
  <c r="EW33" s="1"/>
  <c r="F25" i="4"/>
  <c r="E25"/>
  <c r="F75" i="19"/>
  <c r="EN29" i="2"/>
  <c r="E75" i="19"/>
  <c r="F96"/>
  <c r="EK26" i="2"/>
  <c r="F71" i="16"/>
  <c r="C97"/>
  <c r="E71"/>
  <c r="ES14" i="2"/>
  <c r="E25" i="8"/>
  <c r="F25"/>
  <c r="F25" i="17"/>
  <c r="E25"/>
  <c r="G23" i="2"/>
  <c r="BX31"/>
  <c r="BX33" s="1"/>
  <c r="D39" i="8"/>
  <c r="F4"/>
  <c r="E4"/>
  <c r="D41" i="1"/>
  <c r="H41"/>
  <c r="G30"/>
  <c r="E95" i="13"/>
  <c r="F73" i="10"/>
  <c r="C100"/>
  <c r="E100" s="1"/>
  <c r="F25" i="18"/>
  <c r="DR20" i="2"/>
  <c r="C39" i="8"/>
  <c r="C51" s="1"/>
  <c r="D36" i="13"/>
  <c r="F23"/>
  <c r="E23"/>
  <c r="CH21" i="2"/>
  <c r="D21"/>
  <c r="EQ27"/>
  <c r="DM27" s="1"/>
  <c r="E16" i="1"/>
  <c r="G14"/>
  <c r="H16"/>
  <c r="E4" i="19"/>
  <c r="C38"/>
  <c r="C49" s="1"/>
  <c r="F4"/>
  <c r="H7" i="1"/>
  <c r="F25" i="14"/>
  <c r="E25"/>
  <c r="CZ31" i="2"/>
  <c r="E38" i="4"/>
  <c r="F38"/>
  <c r="EP26" i="2"/>
  <c r="DN26"/>
  <c r="BY25"/>
  <c r="FB20"/>
  <c r="FA31"/>
  <c r="BH32"/>
  <c r="BH33" s="1"/>
  <c r="BJ31"/>
  <c r="F72" i="6"/>
  <c r="F83" i="17"/>
  <c r="DN23" i="2"/>
  <c r="DN18"/>
  <c r="DR21"/>
  <c r="CH22"/>
  <c r="CG31"/>
  <c r="CG33" s="1"/>
  <c r="BP32"/>
  <c r="BP33" s="1"/>
  <c r="ED31"/>
  <c r="DN27"/>
  <c r="DR27"/>
  <c r="AO31"/>
  <c r="DP31"/>
  <c r="DP33" s="1"/>
  <c r="FC19" l="1"/>
  <c r="CF33"/>
  <c r="C49" i="13"/>
  <c r="C52" i="12"/>
  <c r="G51"/>
  <c r="D53" i="18"/>
  <c r="F51" i="11"/>
  <c r="E10" i="1"/>
  <c r="C52" i="8"/>
  <c r="DQ33" i="2"/>
  <c r="AV33"/>
  <c r="AU33"/>
  <c r="BF33"/>
  <c r="E32" i="1"/>
  <c r="EE33" i="2"/>
  <c r="BT33"/>
  <c r="ET33"/>
  <c r="D52" i="15"/>
  <c r="D52" i="11"/>
  <c r="D53" i="10"/>
  <c r="C52" i="9"/>
  <c r="C53" s="1"/>
  <c r="C54" i="17"/>
  <c r="FC23" i="2"/>
  <c r="DM28"/>
  <c r="FC28" s="1"/>
  <c r="F25" i="16"/>
  <c r="E16" i="2"/>
  <c r="FD25"/>
  <c r="E28"/>
  <c r="C39" i="16"/>
  <c r="C50" s="1"/>
  <c r="BS32" i="2"/>
  <c r="BS33" s="1"/>
  <c r="FC20"/>
  <c r="C52" i="6"/>
  <c r="BV31" i="2"/>
  <c r="H16"/>
  <c r="DO14"/>
  <c r="EG31"/>
  <c r="DM21"/>
  <c r="DO21" s="1"/>
  <c r="FC14"/>
  <c r="FC22"/>
  <c r="C51" i="7"/>
  <c r="F100" i="6"/>
  <c r="H15" i="2"/>
  <c r="FD16"/>
  <c r="E26"/>
  <c r="H26"/>
  <c r="H24"/>
  <c r="E24"/>
  <c r="D22"/>
  <c r="E22" s="1"/>
  <c r="F39" i="11"/>
  <c r="E6" i="1"/>
  <c r="E37" i="4"/>
  <c r="F37"/>
  <c r="E27" i="2"/>
  <c r="FD20"/>
  <c r="DO23"/>
  <c r="E8" i="1"/>
  <c r="FD28" i="2"/>
  <c r="BW33"/>
  <c r="F40" i="18"/>
  <c r="C4" i="1"/>
  <c r="FC27" i="2"/>
  <c r="D51" i="16"/>
  <c r="H14" i="1"/>
  <c r="AX31" i="2"/>
  <c r="H29"/>
  <c r="FD24"/>
  <c r="E29"/>
  <c r="FD18"/>
  <c r="E39" i="11"/>
  <c r="E100" i="6"/>
  <c r="E40" i="18"/>
  <c r="C48" i="4"/>
  <c r="E20" i="2"/>
  <c r="DO20"/>
  <c r="DO22"/>
  <c r="C51" i="15"/>
  <c r="C52" s="1"/>
  <c r="F40"/>
  <c r="E40"/>
  <c r="D53" i="5"/>
  <c r="E41"/>
  <c r="F41"/>
  <c r="E97" i="7"/>
  <c r="FD21" i="2"/>
  <c r="F97" i="7"/>
  <c r="DI32" i="2"/>
  <c r="DI33" s="1"/>
  <c r="BA31"/>
  <c r="H30" i="1"/>
  <c r="EQ31" i="2"/>
  <c r="E96" i="19"/>
  <c r="DM17" i="2"/>
  <c r="FC17" s="1"/>
  <c r="ES27"/>
  <c r="H21"/>
  <c r="C21"/>
  <c r="E21" s="1"/>
  <c r="F36" i="13"/>
  <c r="D48"/>
  <c r="E36"/>
  <c r="H23" i="2"/>
  <c r="D23"/>
  <c r="F97" i="16"/>
  <c r="E97"/>
  <c r="E4" i="7"/>
  <c r="D39"/>
  <c r="F4"/>
  <c r="H4" i="1"/>
  <c r="F23"/>
  <c r="F29" s="1"/>
  <c r="F45" s="1"/>
  <c r="F98" i="15"/>
  <c r="E98"/>
  <c r="F99" i="18"/>
  <c r="E99"/>
  <c r="D17" i="2"/>
  <c r="H17"/>
  <c r="EZ32"/>
  <c r="EZ33" s="1"/>
  <c r="DM16"/>
  <c r="EM16"/>
  <c r="EK31"/>
  <c r="EK33" s="1"/>
  <c r="E98" i="14"/>
  <c r="F98"/>
  <c r="F47" i="4"/>
  <c r="E47"/>
  <c r="D48"/>
  <c r="BJ32" i="2"/>
  <c r="BJ33" s="1"/>
  <c r="E38" i="19"/>
  <c r="F38"/>
  <c r="E41" i="1"/>
  <c r="BY31" i="2"/>
  <c r="EY31"/>
  <c r="EJ31"/>
  <c r="BG31"/>
  <c r="EM25"/>
  <c r="DM25"/>
  <c r="DO25" s="1"/>
  <c r="BM31"/>
  <c r="E41" i="6"/>
  <c r="F41"/>
  <c r="D51"/>
  <c r="E15" i="2"/>
  <c r="FD15"/>
  <c r="E98" i="11"/>
  <c r="F98"/>
  <c r="EM24" i="2"/>
  <c r="DM24"/>
  <c r="DO19"/>
  <c r="F100" i="10"/>
  <c r="G23" i="1"/>
  <c r="G29" s="1"/>
  <c r="E5"/>
  <c r="DO18" i="2"/>
  <c r="EN31"/>
  <c r="EN33" s="1"/>
  <c r="C52" i="11"/>
  <c r="E51"/>
  <c r="FA32" i="2"/>
  <c r="FA33" s="1"/>
  <c r="FB31"/>
  <c r="FD26"/>
  <c r="F39" i="8"/>
  <c r="D51"/>
  <c r="G51" s="1"/>
  <c r="E39"/>
  <c r="DM26" i="2"/>
  <c r="FC26" s="1"/>
  <c r="EM26"/>
  <c r="E19"/>
  <c r="FD19"/>
  <c r="C18"/>
  <c r="H18"/>
  <c r="F31"/>
  <c r="F33" s="1"/>
  <c r="EV31"/>
  <c r="E4" i="9"/>
  <c r="F4"/>
  <c r="D39"/>
  <c r="F40" i="12"/>
  <c r="D51"/>
  <c r="H51" s="1"/>
  <c r="E40"/>
  <c r="E100" i="17"/>
  <c r="H25" i="2"/>
  <c r="C25"/>
  <c r="E25" i="1"/>
  <c r="EP29" i="2"/>
  <c r="DM29"/>
  <c r="F40" i="14"/>
  <c r="D51"/>
  <c r="E40"/>
  <c r="D53" i="17"/>
  <c r="E39"/>
  <c r="F39"/>
  <c r="H14" i="2"/>
  <c r="G31"/>
  <c r="G33" s="1"/>
  <c r="D14"/>
  <c r="FC15"/>
  <c r="DO15"/>
  <c r="C52" i="10"/>
  <c r="F40"/>
  <c r="E40"/>
  <c r="AF31" i="2"/>
  <c r="F100" i="17"/>
  <c r="C52" i="14"/>
  <c r="FD27" i="2"/>
  <c r="DO27"/>
  <c r="DN31"/>
  <c r="DN33" s="1"/>
  <c r="DR31"/>
  <c r="CH31"/>
  <c r="E15" i="1" l="1"/>
  <c r="E7"/>
  <c r="E50" i="16"/>
  <c r="C53" i="18"/>
  <c r="E20" i="1"/>
  <c r="E39"/>
  <c r="ES31" i="2"/>
  <c r="EQ33"/>
  <c r="E33" i="1"/>
  <c r="E31"/>
  <c r="D30"/>
  <c r="DO28" i="2"/>
  <c r="FE28"/>
  <c r="F50" i="16"/>
  <c r="C51"/>
  <c r="F39"/>
  <c r="E39"/>
  <c r="FE20" i="2"/>
  <c r="FE19"/>
  <c r="FD22"/>
  <c r="FE22" s="1"/>
  <c r="DO17"/>
  <c r="D31"/>
  <c r="D33" s="1"/>
  <c r="FE27"/>
  <c r="E52" i="18"/>
  <c r="F52"/>
  <c r="D52" i="6"/>
  <c r="E51" i="15"/>
  <c r="F51"/>
  <c r="D54" i="5"/>
  <c r="E53"/>
  <c r="F53"/>
  <c r="FE15" i="2"/>
  <c r="DO26"/>
  <c r="FC21"/>
  <c r="FE21" s="1"/>
  <c r="DM31"/>
  <c r="H31"/>
  <c r="FC29"/>
  <c r="FE29" s="1"/>
  <c r="DO29"/>
  <c r="F51" i="12"/>
  <c r="E51"/>
  <c r="D52"/>
  <c r="FD14" i="2"/>
  <c r="E14"/>
  <c r="E51" i="14"/>
  <c r="F51"/>
  <c r="D52"/>
  <c r="E39" i="9"/>
  <c r="D52"/>
  <c r="F39"/>
  <c r="E23" i="2"/>
  <c r="FD23"/>
  <c r="FE23" s="1"/>
  <c r="EM31"/>
  <c r="F39" i="7"/>
  <c r="D50"/>
  <c r="E39"/>
  <c r="FD17" i="2"/>
  <c r="FE17" s="1"/>
  <c r="E17"/>
  <c r="D49" i="13"/>
  <c r="E48"/>
  <c r="F48"/>
  <c r="F51" i="8"/>
  <c r="D52"/>
  <c r="E51"/>
  <c r="E51" i="6"/>
  <c r="F51"/>
  <c r="C53" i="10"/>
  <c r="E52"/>
  <c r="F52"/>
  <c r="D54" i="17"/>
  <c r="F53"/>
  <c r="E53"/>
  <c r="FC25" i="2"/>
  <c r="FE25" s="1"/>
  <c r="E25"/>
  <c r="FC18"/>
  <c r="FE18" s="1"/>
  <c r="E18"/>
  <c r="C31"/>
  <c r="C33" s="1"/>
  <c r="H23" i="1"/>
  <c r="DO24" i="2"/>
  <c r="FC24"/>
  <c r="FE24" s="1"/>
  <c r="E49" i="19"/>
  <c r="C50"/>
  <c r="F49"/>
  <c r="FC16" i="2"/>
  <c r="FE16" s="1"/>
  <c r="DO16"/>
  <c r="FE26"/>
  <c r="EP31"/>
  <c r="E12" i="1"/>
  <c r="DO31" i="2" l="1"/>
  <c r="DM33"/>
  <c r="E40" i="1"/>
  <c r="C30"/>
  <c r="E30" s="1"/>
  <c r="E31" i="2"/>
  <c r="FE14"/>
  <c r="FD31"/>
  <c r="FD33" s="1"/>
  <c r="D53" i="9"/>
  <c r="F52"/>
  <c r="E52"/>
  <c r="E18" i="1"/>
  <c r="D14"/>
  <c r="D4"/>
  <c r="E4" s="1"/>
  <c r="G45"/>
  <c r="H29"/>
  <c r="F50" i="7"/>
  <c r="D51"/>
  <c r="E50"/>
  <c r="FC31" i="2"/>
  <c r="FC33" s="1"/>
  <c r="E17" i="1"/>
  <c r="C14"/>
  <c r="C23" s="1"/>
  <c r="C29" s="1"/>
  <c r="G46" l="1"/>
  <c r="C45"/>
  <c r="D23"/>
  <c r="D29" s="1"/>
  <c r="F46"/>
  <c r="F47" s="1"/>
  <c r="E14"/>
  <c r="FE31" i="2"/>
  <c r="E23" i="1" l="1"/>
  <c r="G47"/>
  <c r="C46"/>
  <c r="E29"/>
  <c r="D45"/>
  <c r="D46" s="1"/>
</calcChain>
</file>

<file path=xl/sharedStrings.xml><?xml version="1.0" encoding="utf-8"?>
<sst xmlns="http://schemas.openxmlformats.org/spreadsheetml/2006/main" count="2977" uniqueCount="565">
  <si>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</si>
  <si>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</si>
  <si>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</si>
  <si>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</si>
  <si>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</si>
  <si>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</si>
  <si>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</si>
  <si>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</si>
  <si>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</si>
  <si>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</si>
  <si>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</si>
  <si>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</si>
  <si>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</si>
  <si>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</si>
  <si>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</si>
  <si>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</si>
  <si>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</si>
  <si>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</si>
  <si>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</si>
  <si>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</si>
  <si>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</si>
  <si>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</si>
  <si>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</si>
  <si>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</si>
  <si>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</si>
  <si>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</si>
  <si>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</si>
  <si>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</si>
  <si>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</si>
  <si>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</si>
  <si>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</si>
  <si>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</si>
  <si>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</si>
  <si>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</si>
  <si>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</si>
  <si>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</si>
  <si>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</si>
  <si>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</si>
  <si>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</si>
  <si>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</si>
  <si>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</si>
  <si>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</si>
  <si>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</si>
  <si>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</si>
  <si>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</si>
  <si>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</si>
  <si>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</si>
  <si>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</si>
  <si>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</si>
  <si>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</si>
  <si>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</si>
  <si>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</si>
  <si>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</si>
  <si>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</si>
  <si>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</si>
  <si>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</si>
  <si>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</si>
  <si>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</si>
  <si>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</si>
  <si>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</si>
  <si>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</si>
  <si>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</si>
  <si>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</si>
  <si>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</si>
  <si>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</si>
  <si>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</si>
  <si>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</si>
  <si>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</si>
  <si>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</si>
  <si>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</si>
  <si>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</si>
  <si>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</si>
  <si>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</si>
  <si>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</si>
  <si>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</si>
  <si>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</si>
  <si>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</si>
  <si>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</si>
  <si>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</si>
  <si>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</si>
  <si>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</si>
  <si>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</si>
  <si>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</si>
  <si>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</si>
  <si>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</si>
  <si>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</si>
  <si>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</si>
  <si>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</si>
  <si>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</si>
  <si>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</si>
  <si>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</si>
  <si>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</si>
  <si>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</si>
  <si>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</si>
  <si>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</si>
  <si>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</si>
  <si>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</si>
  <si>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</si>
  <si>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</si>
  <si>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</si>
  <si>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</si>
  <si>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</si>
  <si>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</si>
  <si>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</si>
  <si>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</si>
  <si>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</si>
  <si>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</si>
  <si>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</si>
  <si>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</si>
  <si>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</si>
  <si>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</si>
  <si>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</si>
  <si>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</si>
  <si>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</si>
  <si>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</si>
  <si>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</si>
  <si>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</si>
  <si>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</si>
  <si>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</si>
  <si>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</si>
  <si>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</si>
  <si>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</si>
  <si>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</si>
  <si>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</si>
  <si>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</si>
  <si>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</si>
  <si>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</si>
  <si>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</si>
  <si>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</si>
  <si>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</si>
  <si>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</si>
  <si>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</si>
  <si>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</si>
  <si>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</si>
  <si>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</si>
  <si>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</si>
  <si>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</si>
  <si>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</si>
  <si>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</si>
  <si>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</si>
  <si>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</si>
  <si>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</si>
  <si>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</si>
  <si>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</si>
  <si>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</si>
  <si>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</si>
  <si>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</si>
  <si>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</si>
  <si>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</si>
  <si>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</si>
  <si>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</si>
  <si>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</si>
  <si>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</si>
  <si>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</si>
  <si>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</si>
  <si>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</si>
  <si>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</si>
  <si>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</si>
  <si>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</si>
  <si>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</si>
  <si>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</si>
  <si>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</si>
  <si>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</si>
  <si>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</si>
  <si>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</si>
  <si>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</si>
  <si>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</si>
  <si>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</si>
  <si>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</si>
  <si>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</si>
  <si>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</si>
  <si>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</si>
  <si>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</si>
  <si>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</si>
  <si>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</si>
  <si>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</si>
  <si>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</si>
  <si>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</si>
  <si>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</si>
  <si>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</si>
  <si>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</si>
  <si>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</si>
  <si>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</si>
  <si>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</si>
  <si>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</si>
  <si>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</si>
  <si>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</si>
  <si>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</si>
  <si>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</si>
  <si>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</si>
  <si>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</si>
  <si>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</si>
  <si>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</si>
  <si>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</si>
  <si>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</si>
  <si>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</si>
  <si>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</si>
  <si>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</si>
  <si>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</si>
  <si>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</si>
  <si>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</si>
  <si>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</si>
  <si>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</si>
  <si>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</si>
  <si>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</si>
  <si>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</si>
  <si>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</si>
  <si>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</si>
  <si>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</si>
  <si>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</si>
  <si>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</si>
  <si>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</si>
  <si>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</si>
  <si>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</si>
  <si>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</si>
  <si>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</si>
  <si>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</si>
  <si>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</si>
  <si>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</si>
  <si>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</si>
  <si>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</si>
  <si>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</si>
  <si>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</si>
  <si>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</si>
  <si>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</si>
  <si>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</si>
  <si>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</si>
  <si>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</si>
  <si>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</si>
  <si>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</si>
  <si>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</si>
  <si>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</si>
  <si>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</si>
  <si>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</si>
  <si>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</si>
  <si>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</si>
  <si>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</si>
  <si>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</si>
  <si>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</si>
  <si>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</si>
  <si>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</si>
  <si>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</si>
  <si>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</si>
  <si>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</si>
  <si>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</si>
  <si>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</si>
  <si>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</si>
  <si>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</si>
  <si>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</si>
  <si>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</si>
  <si>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</si>
  <si>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</si>
  <si>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</si>
  <si>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</si>
  <si>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</si>
  <si>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</si>
  <si>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</si>
  <si>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Другие вопросы в области жилищно-коммунального хозяйства</t>
  </si>
  <si>
    <t xml:space="preserve">Акцизы 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</si>
  <si>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</si>
  <si>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</si>
  <si>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</si>
  <si>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</si>
  <si>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</si>
  <si>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</si>
  <si>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</si>
  <si>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</si>
  <si>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</si>
  <si>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</si>
  <si>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</si>
  <si>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</si>
  <si>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</si>
  <si>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</si>
  <si>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</si>
  <si>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</si>
  <si>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</si>
  <si>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</si>
  <si>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</si>
  <si>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</si>
  <si>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</si>
  <si>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</si>
  <si>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</si>
  <si>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</si>
  <si>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</si>
  <si>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</si>
  <si>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</si>
  <si>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</si>
  <si>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</si>
  <si>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</si>
  <si>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</si>
  <si>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</si>
  <si>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</si>
  <si>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</si>
  <si>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</si>
  <si>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</si>
  <si>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</si>
  <si>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</si>
  <si>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</si>
  <si>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</si>
  <si>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</si>
  <si>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</si>
  <si>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</si>
  <si>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</si>
  <si>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</si>
  <si>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</si>
  <si>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</si>
  <si>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</si>
  <si>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</si>
  <si>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</si>
  <si>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</si>
  <si>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</si>
  <si>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</si>
  <si>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</si>
  <si>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</si>
  <si>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</si>
  <si>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</si>
  <si>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</si>
  <si>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</si>
  <si>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</si>
  <si>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</si>
  <si>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</si>
  <si>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</si>
  <si>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</si>
  <si>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</si>
  <si>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</si>
  <si>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</si>
  <si>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</si>
  <si>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</si>
  <si>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</si>
  <si>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</si>
  <si>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</si>
  <si>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</si>
  <si>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</si>
  <si>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</si>
  <si>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</si>
  <si>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</si>
  <si>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</si>
  <si>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</si>
  <si>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</si>
  <si>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</si>
  <si>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</si>
  <si>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</si>
  <si>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</si>
  <si>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</si>
  <si>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</si>
  <si>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</si>
  <si>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</si>
  <si>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</si>
  <si>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</si>
  <si>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</si>
  <si>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</si>
  <si>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</si>
  <si>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</si>
  <si>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</si>
  <si>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</si>
  <si>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</si>
  <si>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</si>
  <si>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</si>
  <si>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</si>
  <si>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</si>
  <si>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</si>
  <si>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</si>
  <si>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</si>
  <si>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</si>
  <si>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</si>
  <si>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</si>
  <si>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</si>
  <si>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</si>
  <si>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</si>
  <si>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</si>
  <si>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</si>
  <si>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</si>
  <si>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</si>
  <si>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</si>
  <si>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</si>
  <si>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</si>
  <si>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</si>
  <si>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</si>
  <si>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</si>
  <si>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</si>
  <si>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</si>
  <si>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</si>
  <si>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</si>
  <si>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</si>
  <si>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</si>
  <si>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</si>
  <si>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</si>
  <si>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</si>
  <si>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</si>
  <si>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</si>
  <si>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</si>
  <si>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</si>
  <si>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Доходы от д.в. (штрафов),поступ в счет погашения задолж., образ до 1 января 2020 года</t>
  </si>
  <si>
    <t>Платежи, уплачиваемые в целях возмещения вреда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</si>
  <si>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</si>
  <si>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</si>
  <si>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</si>
  <si>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</si>
  <si>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</si>
  <si>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</si>
  <si>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Штрафы,неустойки,пени,уплаченные в случае просрочки исполнения обязательств</t>
  </si>
  <si>
    <t>Возврат излишне уплаченных сумм</t>
  </si>
  <si>
    <t>Штрафы,неустойки,пени</t>
  </si>
  <si>
    <t>Штрафы ,неустойки, пени</t>
  </si>
  <si>
    <t>Штрафы, неустойки, пени, уплвченные в случае просрочки исполнения поставщиком</t>
  </si>
  <si>
    <t>Инициативные платежи, зачисляемые в бюджеты сельских поселений</t>
  </si>
  <si>
    <t>Инициативные платежи</t>
  </si>
  <si>
    <t>Плата за соглашениям об установлениисервитутав отнош.зем.участ.</t>
  </si>
  <si>
    <t xml:space="preserve">                     Анализ исполнения бюджета Александровского сельского поселения на 01.01.2023 г.</t>
  </si>
  <si>
    <t>исполнено на 01.01.2023 г.</t>
  </si>
  <si>
    <t xml:space="preserve">                     Анализ исполнения бюджета Ярославского сельского поселения на 01.01.2023 г.</t>
  </si>
  <si>
    <t xml:space="preserve">                     Анализ исполнения бюджета Ярабайкасинского сельского поселения на 01.01.2023 г.</t>
  </si>
  <si>
    <t xml:space="preserve">                     Анализ исполнения бюджета Юськасинского сельского поселения на 01.01.2023 г.</t>
  </si>
  <si>
    <t xml:space="preserve">                     Анализ исполнения бюджета Юнгинского сельского поселения на 01.01.2023 г.</t>
  </si>
  <si>
    <t xml:space="preserve">                     Анализ исполнения бюджета Шатьмапосинского сельского поселения на 01.01.2023 г.</t>
  </si>
  <si>
    <t xml:space="preserve">                     Анализ исполнения бюджета Чуманкасинского сельского поселения на 01.01.2023 г.</t>
  </si>
  <si>
    <t xml:space="preserve">                     Анализ исполнения бюджета Хорнойского сельского поселения на 01.01.2023 г.</t>
  </si>
  <si>
    <t xml:space="preserve">                     Анализ исполнения бюджета Тораевского сельского поселения на 01.01.2023 г.</t>
  </si>
  <si>
    <t xml:space="preserve">                     Анализ исполнения бюджета Сятракасинского сельского поселения на 01.01.2023 г.</t>
  </si>
  <si>
    <t xml:space="preserve">                     Анализ исполнения бюджета Орининского сельского поселения на 01.01.2023 г.</t>
  </si>
  <si>
    <t xml:space="preserve">                     Анализ исполнения бюджета Москакасинского сельского поселения на 01.01.2023 г.</t>
  </si>
  <si>
    <t xml:space="preserve">                     Анализ исполнения бюджета Моргаушского сельского поселения на 01.01.2023 г.</t>
  </si>
  <si>
    <t xml:space="preserve">                     Анализ исполнения бюджета Кадикасинского сельского поселения на 01.01.2023 г.</t>
  </si>
  <si>
    <t xml:space="preserve">                     Анализ исполнения бюджета Ильинского сельского поселения на 01.01.2023 г.</t>
  </si>
  <si>
    <t xml:space="preserve">                     Анализ исполнения бюджета Большесундырского сельского поселения на 01.01.2023 г.</t>
  </si>
  <si>
    <t>об исполнении бюджетов поселений  Моргаушского района  на 1 января 2023 г.</t>
  </si>
  <si>
    <t>Штрафы, неустойки,пени,уплаченные в случае просроки исполнения поставщиком</t>
  </si>
  <si>
    <t>0705</t>
  </si>
  <si>
    <t xml:space="preserve">Профессиональная подготовка, переподготовка и повышение квалификации </t>
  </si>
  <si>
    <t>Прочие налоги и сборы (по отм.местн. нал. и сборам )</t>
  </si>
  <si>
    <t xml:space="preserve">администрации Моргаушского муниципального округа </t>
  </si>
  <si>
    <t xml:space="preserve">                                                Ананьева Р.И.</t>
  </si>
  <si>
    <t>исполнено на 01.02.2023 г.</t>
  </si>
  <si>
    <t>Доходы, получаемые в виде арендной платы за земли после разграничения госуд.собственности на землю</t>
  </si>
  <si>
    <t>Административные штрафы, установленные КРФ об административных правонарушений</t>
  </si>
  <si>
    <t>Штафы, неустойки, пени, уплаченные в соотв с законом или договорам в случае неисполнения или ненадлежащего исполн.обязатель.</t>
  </si>
  <si>
    <t>0605</t>
  </si>
  <si>
    <t>Другие вопросы в области охраны окружающей среды</t>
  </si>
  <si>
    <t>Анализ исполнения консолидированного бюджета Моргаушского муниципального округа на 01.02.2023 г.</t>
  </si>
  <si>
    <t>план на 2023 г.</t>
  </si>
  <si>
    <t xml:space="preserve">                                                                                    Сравнительный анализ исполнения бюджета</t>
  </si>
  <si>
    <t>КБК</t>
  </si>
  <si>
    <t>Раздел, подраздел</t>
  </si>
  <si>
    <t>РАСХОДЫ</t>
  </si>
  <si>
    <t>Зам главы -начальник финансового отдела</t>
  </si>
  <si>
    <t>Государственная пошлина за государственную регистрацию, а также за совершение прочих юридически значимых действий</t>
  </si>
  <si>
    <t>план (назначено) на год</t>
  </si>
  <si>
    <t>Плата по соглашениям об установл.сервитута в отношении земельных участков, наход-ся в госуд. или мун. собст.</t>
  </si>
  <si>
    <t>% исполнения к уровню прошлого года</t>
  </si>
  <si>
    <t>Земельный налог,в том числе:</t>
  </si>
  <si>
    <t>Дорожное хозяйство: в том числе</t>
  </si>
  <si>
    <t>Коммунальное хозяйство: в том числе</t>
  </si>
  <si>
    <t>Обеспечение мероприятий по капитальному ремонту многоквартирных домов, находящихся в муниципальной собственности</t>
  </si>
  <si>
    <t>A21</t>
  </si>
  <si>
    <t>A11</t>
  </si>
  <si>
    <t>A62</t>
  </si>
  <si>
    <t>Ч21</t>
  </si>
  <si>
    <t>A12</t>
  </si>
  <si>
    <t>A13</t>
  </si>
  <si>
    <t>транспортный налог с организаций</t>
  </si>
  <si>
    <t>транспортный налог с физ.лиц</t>
  </si>
  <si>
    <t>Транспортный налог: в том числе</t>
  </si>
  <si>
    <t>земельный налог с физ.лиц</t>
  </si>
  <si>
    <t>Платежи в целях возмещения убытков, причиненных уклонением от заключения мун.контракта</t>
  </si>
  <si>
    <t>A51</t>
  </si>
  <si>
    <t>Ч36</t>
  </si>
  <si>
    <t>Релизация инициативных проектов</t>
  </si>
  <si>
    <t>Благоустройство: в том числе</t>
  </si>
  <si>
    <t>Жилищное хозяйство: в том числе</t>
  </si>
  <si>
    <t>Развитие водоснабжения в сельской местности</t>
  </si>
  <si>
    <t>Мероприятия, направленные на развитие и модернизацию объектов коммунальной инфраструктуры</t>
  </si>
  <si>
    <t>Уличное освещение</t>
  </si>
  <si>
    <t>Реализация мероприятий по благоустройству дворовых территорий и тротуаров</t>
  </si>
  <si>
    <t xml:space="preserve">Реализация мероприятий по благоустройству территории </t>
  </si>
  <si>
    <t>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Республики":</t>
  </si>
  <si>
    <t>Поддержка региональных проектов в области обращения с отходами и ликвидации накопленного экологического ущерба</t>
  </si>
  <si>
    <t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</si>
  <si>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</si>
  <si>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</si>
  <si>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</si>
  <si>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</si>
  <si>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</si>
  <si>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</si>
  <si>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Безопасные и качественные автомобильные дороги" муниципальной программы "Развитие транспортной системы ":</t>
  </si>
  <si>
    <t xml:space="preserve">Реализация программ формирования современной городской среды </t>
  </si>
  <si>
    <t>Охрана семьи и детства в том числе:</t>
  </si>
  <si>
    <t>Обеспечение жильем молодых семей</t>
  </si>
  <si>
    <t xml:space="preserve">Обеспечение жилыми помещениями детей-сирот </t>
  </si>
  <si>
    <t xml:space="preserve">Обеспечение жилыми помещениями многодетных семей, имеющих пять </t>
  </si>
  <si>
    <t>0603</t>
  </si>
  <si>
    <t>Обеспечение отдыха и оздоровления детей, в том числе детей, находящихся в трудной жизненной ситуации</t>
  </si>
  <si>
    <t>Организация льготного питания для отдельных категорий учащихся в муниципальных общеобразовательных организациях</t>
  </si>
  <si>
    <t>Организация временного трудоустройства несовершеннолетних граждан в возрасте от 14 до 18 лет в свободное от учебы время</t>
  </si>
  <si>
    <t>Персонифицированное финансирование дополнительного образования детей</t>
  </si>
  <si>
    <t>A4</t>
  </si>
  <si>
    <t>Сопровождение и информационное наполнение автоматизированной информационной системы управления и распоряжения муниципальным имуществом</t>
  </si>
  <si>
    <t>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</si>
  <si>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</si>
  <si>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Ч12</t>
  </si>
  <si>
    <t>Организация и проведение конкурсов среди субъектов малого и среднего предпринимательства</t>
  </si>
  <si>
    <t>А4</t>
  </si>
  <si>
    <t>Проведение комплексных кадастровых работ на территории Чувашской Республики</t>
  </si>
  <si>
    <t>Реализация комплекса мероприятий по борьбе с распространением борщевика Сосновского на территории Чувашской Республики</t>
  </si>
  <si>
    <t>Подготовка проектов межевания земельных участков и на проведение кадастровых работ</t>
  </si>
  <si>
    <t>Ц9</t>
  </si>
  <si>
    <t>Капитальный и текущий ремонт объектов водоснабжения (водозаборных сооружений , водопроводов и др.)</t>
  </si>
  <si>
    <t>Ч23</t>
  </si>
  <si>
    <t>Ц71</t>
  </si>
  <si>
    <t>Ц76</t>
  </si>
  <si>
    <t>A61</t>
  </si>
  <si>
    <t>Улучшение жилищных условий граждан, проживающих на сельских территориях</t>
  </si>
  <si>
    <t>A22</t>
  </si>
  <si>
    <t>Ц51</t>
  </si>
  <si>
    <t>Обеспечение деятельности муниципальных физкультурно-оздоровительных центров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</si>
  <si>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 (местные субсидии на иные цели)</t>
  </si>
  <si>
    <t>Обеспечение безопасности участия детей в дорожном движении (местные субсидии на иные цели)</t>
  </si>
  <si>
    <t>Обеспечение деятельности муниципальных общеобразовательных организаций (местные субсидии на иные цели)</t>
  </si>
  <si>
    <t>Организация льготного питания для отдельных категорий учащихся в муниципальных общеобразовательных организациях (местные субсидии на иные цели)</t>
  </si>
  <si>
    <t>Ц41</t>
  </si>
  <si>
    <t>Обеспечение деятельности муниципальных учреждений культурно-досугового типа и народного творчества (местные субсидии на иные цели)</t>
  </si>
  <si>
    <t>Обеспечение деятельности муниципальных музеев (местные субсидии на иные цели)</t>
  </si>
  <si>
    <t>Обеспечение деятельности муниципальных библиотек (местные субсидии на иные цели)</t>
  </si>
  <si>
    <t>Обеспечение деятельности муниципальных организаций дополнительного образования</t>
  </si>
  <si>
    <t>Обеспечение деятельности муниципальных детско-юношеских спортивных школ</t>
  </si>
  <si>
    <t>Ц52</t>
  </si>
  <si>
    <t>Ч2</t>
  </si>
  <si>
    <t>Ц34</t>
  </si>
  <si>
    <t>ДОХОДЫ</t>
  </si>
  <si>
    <t>Обслуживание внутреннего государственного и муниципального долга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</si>
  <si>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(субсидии на иные цели)</t>
  </si>
  <si>
    <t>Организация и проведение официальных физических мероприятий</t>
  </si>
  <si>
    <t>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</si>
  <si>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Доходы от продажи земельных участков, госуд.соб.на которые не разграничена</t>
  </si>
  <si>
    <t>Доходы от продажи земельных участков, госуд.соб.на которые разграничена</t>
  </si>
  <si>
    <t>А13</t>
  </si>
  <si>
    <r>
      <t>Другие вопросы в области национальной экономики</t>
    </r>
    <r>
      <rPr>
        <i/>
        <sz val="18"/>
        <rFont val="Times New Roman"/>
        <family val="1"/>
        <charset val="204"/>
      </rPr>
      <t xml:space="preserve"> в том числе:</t>
    </r>
  </si>
  <si>
    <t>Капитальный и текущий ремонт инженерно-коммунальных сетей муниципальных образований</t>
  </si>
  <si>
    <t>Капитальный и текущий ремонт, модернизация котельных с использованием энергоэффективного оборудования, замена неэффективных отопительных котлов в индивидуальных системах отопления зданий, строений, сооружений</t>
  </si>
  <si>
    <t>Охрана объектов растительного и животного мира и среды их обитания</t>
  </si>
  <si>
    <t>Осуществление строительных и ремонтных работ в целях обеспечения благоустройства территории</t>
  </si>
  <si>
    <t>Ч32</t>
  </si>
  <si>
    <t>Организация экологических мероприятий</t>
  </si>
  <si>
    <t>Обеспечение контейнерами и бункерами для твердых коммунальных отходов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</si>
  <si>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образовательных(субсидии на иные цели)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</si>
  <si>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организаций(субсидии на иные цели)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</si>
  <si>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</si>
  <si>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Организация отдыха детей в загородных, пришкольных и других лагерях</t>
  </si>
  <si>
    <t>Ц72</t>
  </si>
  <si>
    <t>Обустройство и восстановление воинских захоронений</t>
  </si>
  <si>
    <t>Капитальный ремонт муниципальных учреждений культуры клубного типа</t>
  </si>
  <si>
    <t>Ц46</t>
  </si>
  <si>
    <t xml:space="preserve">                                               2024 год</t>
  </si>
  <si>
    <t xml:space="preserve">                      2023 год</t>
  </si>
  <si>
    <t>земельный налог с организаций</t>
  </si>
  <si>
    <t xml:space="preserve">Мобилизационная и вневойсковая подготовка  </t>
  </si>
  <si>
    <t>А21</t>
  </si>
  <si>
    <t>Обеспечение мероприятий по переселению граждан из аварийного и ветхого жилищного фонда</t>
  </si>
  <si>
    <t>Капитательный ремонт муниципальных образовательных организаций</t>
  </si>
  <si>
    <t>Обеспечение деятельности детских дошкольных образовательных организаций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</si>
  <si>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</si>
  <si>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                                                          Моргаушского муниципального округа на 01.01.2025 г.</t>
  </si>
  <si>
    <t>исполнено на 01.01.2025 г.</t>
  </si>
  <si>
    <t>исполнено на 01.01.2024г.</t>
  </si>
  <si>
    <t>Прочие неналоговые доходы бюджетов муниципальных округов</t>
  </si>
  <si>
    <t>Создание и (или) модернизация источников водоснабжения (водонапорных башен и водозаборных скважин) в населенных пунктах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</si>
</sst>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5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629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Fill="1" applyBorder="1" applyAlignment="1">
      <alignment horizontal="center"/>
    </xf>
    <xf numFmtId="1" fontId="18" fillId="0" borderId="1" xfId="11" applyNumberFormat="1" applyFont="1" applyBorder="1" applyAlignment="1">
      <alignment horizontal="center"/>
    </xf>
    <xf numFmtId="0" fontId="18" fillId="0" borderId="1" xfId="11" applyFont="1" applyBorder="1" applyAlignment="1">
      <alignment horizontal="center" vertical="top"/>
    </xf>
    <xf numFmtId="0" fontId="18" fillId="0" borderId="2" xfId="11" applyFont="1" applyBorder="1" applyAlignment="1">
      <alignment horizontal="center"/>
    </xf>
    <xf numFmtId="49" fontId="18" fillId="0" borderId="1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49" fontId="18" fillId="0" borderId="3" xfId="8" applyNumberFormat="1" applyFont="1" applyBorder="1" applyAlignment="1">
      <alignment horizontal="center"/>
    </xf>
    <xf numFmtId="49" fontId="19" fillId="0" borderId="1" xfId="8" applyNumberFormat="1" applyFont="1" applyBorder="1" applyAlignment="1">
      <alignment horizontal="center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/>
    </xf>
    <xf numFmtId="0" fontId="42" fillId="0" borderId="1" xfId="11" applyFont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74" fontId="19" fillId="3" borderId="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7" fontId="43" fillId="0" borderId="1" xfId="0" applyNumberFormat="1" applyFont="1" applyBorder="1" applyAlignment="1">
      <alignment vertical="center" wrapText="1"/>
    </xf>
    <xf numFmtId="167" fontId="43" fillId="5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8" fontId="3" fillId="5" borderId="1" xfId="11" applyNumberFormat="1" applyFont="1" applyFill="1" applyBorder="1" applyAlignment="1">
      <alignment horizontal="right" vertical="center"/>
    </xf>
    <xf numFmtId="168" fontId="18" fillId="5" borderId="1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0" fontId="18" fillId="0" borderId="0" xfId="11" applyFont="1" applyBorder="1" applyAlignment="1">
      <alignment horizontal="center"/>
    </xf>
    <xf numFmtId="0" fontId="18" fillId="0" borderId="13" xfId="11" applyFont="1" applyBorder="1" applyAlignment="1">
      <alignment horizontal="left"/>
    </xf>
    <xf numFmtId="0" fontId="18" fillId="0" borderId="0" xfId="11" applyFont="1" applyBorder="1" applyAlignment="1">
      <alignment horizontal="left"/>
    </xf>
    <xf numFmtId="0" fontId="44" fillId="0" borderId="0" xfId="11" applyFont="1" applyBorder="1" applyAlignment="1">
      <alignment horizontal="center"/>
    </xf>
    <xf numFmtId="0" fontId="18" fillId="0" borderId="3" xfId="11" applyFont="1" applyBorder="1"/>
    <xf numFmtId="0" fontId="19" fillId="0" borderId="3" xfId="11" applyFont="1" applyBorder="1" applyAlignment="1">
      <alignment wrapText="1"/>
    </xf>
    <xf numFmtId="0" fontId="18" fillId="0" borderId="3" xfId="11" applyFont="1" applyBorder="1" applyAlignment="1">
      <alignment wrapText="1"/>
    </xf>
    <xf numFmtId="0" fontId="19" fillId="0" borderId="3" xfId="11" applyFont="1" applyBorder="1"/>
    <xf numFmtId="0" fontId="19" fillId="0" borderId="3" xfId="11" applyFont="1" applyFill="1" applyBorder="1"/>
    <xf numFmtId="0" fontId="19" fillId="0" borderId="3" xfId="11" applyFont="1" applyFill="1" applyBorder="1" applyAlignment="1">
      <alignment wrapText="1"/>
    </xf>
    <xf numFmtId="166" fontId="18" fillId="0" borderId="3" xfId="11" applyNumberFormat="1" applyFont="1" applyBorder="1" applyAlignment="1">
      <alignment wrapText="1"/>
    </xf>
    <xf numFmtId="0" fontId="18" fillId="0" borderId="3" xfId="11" applyFont="1" applyBorder="1" applyAlignment="1">
      <alignment vertical="top" wrapText="1"/>
    </xf>
    <xf numFmtId="0" fontId="18" fillId="0" borderId="3" xfId="11" applyFont="1" applyFill="1" applyBorder="1"/>
    <xf numFmtId="0" fontId="18" fillId="0" borderId="13" xfId="11" applyFont="1" applyFill="1" applyBorder="1"/>
    <xf numFmtId="0" fontId="18" fillId="3" borderId="3" xfId="9" applyFont="1" applyFill="1" applyBorder="1" applyAlignment="1">
      <alignment wrapText="1"/>
    </xf>
    <xf numFmtId="0" fontId="19" fillId="3" borderId="3" xfId="9" applyFont="1" applyFill="1" applyBorder="1" applyAlignment="1">
      <alignment wrapText="1"/>
    </xf>
    <xf numFmtId="0" fontId="19" fillId="0" borderId="3" xfId="9" applyFont="1" applyBorder="1" applyAlignment="1">
      <alignment wrapText="1"/>
    </xf>
    <xf numFmtId="0" fontId="18" fillId="3" borderId="3" xfId="8" applyFont="1" applyFill="1" applyBorder="1" applyAlignment="1">
      <alignment wrapText="1"/>
    </xf>
    <xf numFmtId="0" fontId="19" fillId="0" borderId="3" xfId="8" applyFont="1" applyBorder="1" applyAlignment="1">
      <alignment wrapText="1"/>
    </xf>
    <xf numFmtId="0" fontId="39" fillId="0" borderId="3" xfId="7" applyFont="1" applyBorder="1" applyAlignment="1">
      <alignment wrapText="1"/>
    </xf>
    <xf numFmtId="0" fontId="44" fillId="7" borderId="24" xfId="11" applyFont="1" applyFill="1" applyBorder="1" applyAlignment="1">
      <alignment horizontal="center"/>
    </xf>
    <xf numFmtId="0" fontId="44" fillId="7" borderId="25" xfId="11" applyFont="1" applyFill="1" applyBorder="1" applyAlignment="1">
      <alignment horizontal="center"/>
    </xf>
    <xf numFmtId="0" fontId="44" fillId="7" borderId="26" xfId="11" applyFont="1" applyFill="1" applyBorder="1" applyAlignment="1">
      <alignment horizontal="center"/>
    </xf>
    <xf numFmtId="0" fontId="44" fillId="0" borderId="24" xfId="11" applyFont="1" applyBorder="1" applyAlignment="1">
      <alignment horizontal="center"/>
    </xf>
    <xf numFmtId="0" fontId="47" fillId="0" borderId="27" xfId="11" applyFont="1" applyBorder="1" applyAlignment="1">
      <alignment horizontal="center"/>
    </xf>
    <xf numFmtId="167" fontId="48" fillId="0" borderId="17" xfId="11" applyNumberFormat="1" applyFont="1" applyBorder="1" applyAlignment="1">
      <alignment horizontal="right" vertical="center"/>
    </xf>
    <xf numFmtId="167" fontId="48" fillId="0" borderId="1" xfId="11" applyNumberFormat="1" applyFont="1" applyBorder="1" applyAlignment="1">
      <alignment horizontal="right" vertical="center"/>
    </xf>
    <xf numFmtId="167" fontId="46" fillId="0" borderId="18" xfId="11" applyNumberFormat="1" applyFont="1" applyBorder="1" applyAlignment="1">
      <alignment horizontal="right" vertical="center"/>
    </xf>
    <xf numFmtId="167" fontId="49" fillId="0" borderId="17" xfId="11" applyNumberFormat="1" applyFont="1" applyBorder="1" applyAlignment="1">
      <alignment horizontal="right" vertical="center"/>
    </xf>
    <xf numFmtId="167" fontId="49" fillId="0" borderId="1" xfId="11" applyNumberFormat="1" applyFont="1" applyFill="1" applyBorder="1" applyAlignment="1">
      <alignment horizontal="right" vertical="center"/>
    </xf>
    <xf numFmtId="167" fontId="49" fillId="0" borderId="17" xfId="11" applyNumberFormat="1" applyFont="1" applyFill="1" applyBorder="1" applyAlignment="1">
      <alignment horizontal="right" vertical="center"/>
    </xf>
    <xf numFmtId="167" fontId="49" fillId="0" borderId="1" xfId="11" applyNumberFormat="1" applyFont="1" applyBorder="1" applyAlignment="1">
      <alignment horizontal="right" vertical="center"/>
    </xf>
    <xf numFmtId="167" fontId="49" fillId="0" borderId="17" xfId="0" applyNumberFormat="1" applyFont="1" applyBorder="1" applyAlignment="1">
      <alignment horizontal="right" vertical="center"/>
    </xf>
    <xf numFmtId="167" fontId="49" fillId="3" borderId="17" xfId="0" applyNumberFormat="1" applyFont="1" applyFill="1" applyBorder="1" applyAlignment="1">
      <alignment horizontal="right" vertical="center"/>
    </xf>
    <xf numFmtId="167" fontId="48" fillId="0" borderId="17" xfId="0" applyNumberFormat="1" applyFont="1" applyBorder="1" applyAlignment="1">
      <alignment horizontal="right" vertical="center"/>
    </xf>
    <xf numFmtId="167" fontId="49" fillId="3" borderId="1" xfId="12" applyNumberFormat="1" applyFont="1" applyFill="1" applyBorder="1" applyAlignment="1">
      <alignment horizontal="right" vertical="center"/>
    </xf>
    <xf numFmtId="167" fontId="49" fillId="3" borderId="1" xfId="11" applyNumberFormat="1" applyFont="1" applyFill="1" applyBorder="1" applyAlignment="1">
      <alignment horizontal="right" vertical="center"/>
    </xf>
    <xf numFmtId="167" fontId="49" fillId="5" borderId="17" xfId="11" applyNumberFormat="1" applyFont="1" applyFill="1" applyBorder="1" applyAlignment="1">
      <alignment horizontal="right" vertical="center"/>
    </xf>
    <xf numFmtId="167" fontId="48" fillId="3" borderId="17" xfId="1" applyNumberFormat="1" applyFont="1" applyFill="1" applyBorder="1" applyAlignment="1">
      <alignment horizontal="right" vertical="center"/>
    </xf>
    <xf numFmtId="167" fontId="49" fillId="2" borderId="1" xfId="2" applyNumberFormat="1" applyFont="1" applyFill="1" applyBorder="1" applyAlignment="1">
      <alignment horizontal="right" vertical="center" shrinkToFit="1"/>
    </xf>
    <xf numFmtId="167" fontId="49" fillId="2" borderId="1" xfId="3" applyNumberFormat="1" applyFont="1" applyFill="1" applyBorder="1" applyAlignment="1">
      <alignment horizontal="right" vertical="center" shrinkToFit="1"/>
    </xf>
    <xf numFmtId="167" fontId="49" fillId="2" borderId="1" xfId="4" applyNumberFormat="1" applyFont="1" applyFill="1" applyBorder="1" applyAlignment="1">
      <alignment horizontal="right" vertical="center" shrinkToFit="1"/>
    </xf>
    <xf numFmtId="167" fontId="46" fillId="0" borderId="18" xfId="9" applyNumberFormat="1" applyFont="1" applyBorder="1" applyAlignment="1">
      <alignment horizontal="right" vertical="center"/>
    </xf>
    <xf numFmtId="167" fontId="48" fillId="0" borderId="19" xfId="11" applyNumberFormat="1" applyFont="1" applyBorder="1" applyAlignment="1">
      <alignment horizontal="right" vertical="center"/>
    </xf>
    <xf numFmtId="167" fontId="48" fillId="0" borderId="2" xfId="11" applyNumberFormat="1" applyFont="1" applyBorder="1" applyAlignment="1">
      <alignment horizontal="right" vertical="center"/>
    </xf>
    <xf numFmtId="167" fontId="46" fillId="0" borderId="20" xfId="9" applyNumberFormat="1" applyFont="1" applyBorder="1" applyAlignment="1">
      <alignment horizontal="right" vertical="center"/>
    </xf>
    <xf numFmtId="167" fontId="48" fillId="0" borderId="23" xfId="11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 vertical="center"/>
    </xf>
    <xf numFmtId="167" fontId="48" fillId="0" borderId="1" xfId="9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/>
    </xf>
    <xf numFmtId="167" fontId="49" fillId="0" borderId="1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horizontal="right"/>
    </xf>
    <xf numFmtId="167" fontId="49" fillId="0" borderId="1" xfId="9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 wrapText="1"/>
    </xf>
    <xf numFmtId="167" fontId="48" fillId="0" borderId="17" xfId="6" applyNumberFormat="1" applyFont="1" applyBorder="1" applyAlignment="1">
      <alignment horizontal="right" vertical="center"/>
    </xf>
    <xf numFmtId="167" fontId="48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 vertical="center"/>
    </xf>
    <xf numFmtId="167" fontId="49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/>
    </xf>
    <xf numFmtId="167" fontId="49" fillId="2" borderId="1" xfId="5" applyNumberFormat="1" applyFont="1" applyFill="1" applyBorder="1" applyAlignment="1">
      <alignment horizontal="right" vertical="top" shrinkToFit="1"/>
    </xf>
    <xf numFmtId="167" fontId="48" fillId="0" borderId="1" xfId="12" applyNumberFormat="1" applyFont="1" applyBorder="1" applyAlignment="1">
      <alignment horizontal="right" vertical="center"/>
    </xf>
    <xf numFmtId="167" fontId="48" fillId="0" borderId="17" xfId="12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/>
    </xf>
    <xf numFmtId="167" fontId="48" fillId="0" borderId="1" xfId="9" applyNumberFormat="1" applyFont="1" applyBorder="1" applyAlignment="1">
      <alignment horizontal="right"/>
    </xf>
    <xf numFmtId="166" fontId="18" fillId="7" borderId="15" xfId="11" applyNumberFormat="1" applyFont="1" applyFill="1" applyBorder="1" applyAlignment="1">
      <alignment horizontal="center" vertical="center" wrapText="1"/>
    </xf>
    <xf numFmtId="166" fontId="18" fillId="7" borderId="8" xfId="11" applyNumberFormat="1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18" fillId="7" borderId="1" xfId="9" applyFont="1" applyFill="1" applyBorder="1" applyAlignment="1">
      <alignment horizontal="center" vertical="center" wrapText="1"/>
    </xf>
    <xf numFmtId="0" fontId="18" fillId="7" borderId="3" xfId="9" applyFont="1" applyFill="1" applyBorder="1" applyAlignment="1">
      <alignment horizontal="center" vertical="center" wrapText="1"/>
    </xf>
    <xf numFmtId="167" fontId="18" fillId="7" borderId="17" xfId="11" applyNumberFormat="1" applyFont="1" applyFill="1" applyBorder="1" applyAlignment="1">
      <alignment horizontal="center" vertical="center" wrapText="1"/>
    </xf>
    <xf numFmtId="167" fontId="18" fillId="7" borderId="1" xfId="11" applyNumberFormat="1" applyFont="1" applyFill="1" applyBorder="1" applyAlignment="1">
      <alignment horizontal="center" vertical="center" wrapText="1"/>
    </xf>
    <xf numFmtId="0" fontId="18" fillId="7" borderId="8" xfId="11" applyFont="1" applyFill="1" applyBorder="1" applyAlignment="1">
      <alignment horizontal="center" vertical="center" wrapText="1"/>
    </xf>
    <xf numFmtId="0" fontId="18" fillId="7" borderId="9" xfId="11" applyFont="1" applyFill="1" applyBorder="1" applyAlignment="1">
      <alignment horizontal="center" vertical="center" wrapText="1"/>
    </xf>
    <xf numFmtId="0" fontId="18" fillId="0" borderId="28" xfId="11" applyFont="1" applyBorder="1" applyAlignment="1">
      <alignment horizontal="left"/>
    </xf>
    <xf numFmtId="0" fontId="44" fillId="0" borderId="29" xfId="11" applyFont="1" applyBorder="1" applyAlignment="1">
      <alignment horizontal="center"/>
    </xf>
    <xf numFmtId="49" fontId="45" fillId="0" borderId="1" xfId="9" applyNumberFormat="1" applyFont="1" applyBorder="1" applyAlignment="1">
      <alignment horizontal="center"/>
    </xf>
    <xf numFmtId="0" fontId="45" fillId="0" borderId="3" xfId="11" applyFont="1" applyBorder="1"/>
    <xf numFmtId="0" fontId="51" fillId="0" borderId="3" xfId="9" applyFont="1" applyBorder="1" applyAlignment="1">
      <alignment wrapText="1"/>
    </xf>
    <xf numFmtId="0" fontId="44" fillId="0" borderId="3" xfId="9" applyFont="1" applyBorder="1" applyAlignment="1">
      <alignment wrapText="1"/>
    </xf>
    <xf numFmtId="49" fontId="44" fillId="0" borderId="1" xfId="9" applyNumberFormat="1" applyFont="1" applyBorder="1" applyAlignment="1">
      <alignment horizontal="center"/>
    </xf>
    <xf numFmtId="0" fontId="45" fillId="0" borderId="3" xfId="9" applyFont="1" applyBorder="1" applyAlignment="1">
      <alignment wrapText="1"/>
    </xf>
    <xf numFmtId="0" fontId="45" fillId="3" borderId="3" xfId="9" applyFont="1" applyFill="1" applyBorder="1" applyAlignment="1">
      <alignment wrapText="1"/>
    </xf>
    <xf numFmtId="0" fontId="45" fillId="0" borderId="1" xfId="9" applyFont="1" applyBorder="1" applyAlignment="1">
      <alignment horizontal="center"/>
    </xf>
    <xf numFmtId="167" fontId="46" fillId="0" borderId="17" xfId="9" applyNumberFormat="1" applyFont="1" applyBorder="1" applyAlignment="1">
      <alignment horizontal="right" vertical="center"/>
    </xf>
    <xf numFmtId="167" fontId="46" fillId="0" borderId="1" xfId="9" applyNumberFormat="1" applyFont="1" applyBorder="1" applyAlignment="1">
      <alignment horizontal="right" vertical="center"/>
    </xf>
    <xf numFmtId="167" fontId="46" fillId="2" borderId="1" xfId="5" applyNumberFormat="1" applyFont="1" applyFill="1" applyBorder="1" applyAlignment="1">
      <alignment horizontal="right" vertical="top" shrinkToFit="1"/>
    </xf>
    <xf numFmtId="167" fontId="46" fillId="0" borderId="17" xfId="6" applyNumberFormat="1" applyFont="1" applyBorder="1" applyAlignment="1">
      <alignment horizontal="right" vertical="center"/>
    </xf>
    <xf numFmtId="49" fontId="45" fillId="0" borderId="3" xfId="9" applyNumberFormat="1" applyFont="1" applyBorder="1" applyAlignment="1">
      <alignment horizontal="center"/>
    </xf>
    <xf numFmtId="49" fontId="53" fillId="0" borderId="1" xfId="9" applyNumberFormat="1" applyFont="1" applyBorder="1" applyAlignment="1">
      <alignment horizontal="center"/>
    </xf>
    <xf numFmtId="0" fontId="53" fillId="0" borderId="3" xfId="9" applyFont="1" applyBorder="1" applyAlignment="1">
      <alignment wrapText="1"/>
    </xf>
    <xf numFmtId="0" fontId="53" fillId="3" borderId="3" xfId="9" applyFont="1" applyFill="1" applyBorder="1" applyAlignment="1">
      <alignment wrapText="1"/>
    </xf>
    <xf numFmtId="0" fontId="53" fillId="0" borderId="1" xfId="9" applyFont="1" applyBorder="1" applyAlignment="1">
      <alignment horizontal="center"/>
    </xf>
    <xf numFmtId="0" fontId="53" fillId="0" borderId="3" xfId="8" applyFont="1" applyBorder="1" applyAlignment="1">
      <alignment wrapText="1"/>
    </xf>
    <xf numFmtId="167" fontId="46" fillId="2" borderId="1" xfId="5" applyNumberFormat="1" applyFont="1" applyFill="1" applyBorder="1" applyAlignment="1">
      <alignment horizontal="right" shrinkToFit="1"/>
    </xf>
    <xf numFmtId="167" fontId="46" fillId="0" borderId="17" xfId="9" applyNumberFormat="1" applyFont="1" applyBorder="1" applyAlignment="1">
      <alignment horizontal="right"/>
    </xf>
    <xf numFmtId="167" fontId="46" fillId="0" borderId="1" xfId="9" applyNumberFormat="1" applyFont="1" applyBorder="1" applyAlignment="1">
      <alignment horizontal="right"/>
    </xf>
    <xf numFmtId="167" fontId="48" fillId="5" borderId="1" xfId="9" applyNumberFormat="1" applyFont="1" applyFill="1" applyBorder="1" applyAlignment="1">
      <alignment horizontal="right"/>
    </xf>
    <xf numFmtId="167" fontId="48" fillId="5" borderId="17" xfId="9" applyNumberFormat="1" applyFont="1" applyFill="1" applyBorder="1" applyAlignment="1">
      <alignment horizontal="right"/>
    </xf>
    <xf numFmtId="167" fontId="48" fillId="0" borderId="17" xfId="6" applyNumberFormat="1" applyFont="1" applyBorder="1" applyAlignment="1">
      <alignment horizontal="right"/>
    </xf>
    <xf numFmtId="167" fontId="46" fillId="0" borderId="17" xfId="6" applyNumberFormat="1" applyFont="1" applyBorder="1" applyAlignment="1">
      <alignment horizontal="right"/>
    </xf>
    <xf numFmtId="167" fontId="48" fillId="0" borderId="1" xfId="0" applyNumberFormat="1" applyFont="1" applyBorder="1" applyAlignment="1">
      <alignment horizontal="right" vertical="center"/>
    </xf>
    <xf numFmtId="167" fontId="49" fillId="0" borderId="5" xfId="9" applyNumberFormat="1" applyFont="1" applyBorder="1" applyAlignment="1">
      <alignment horizontal="right" vertical="center"/>
    </xf>
    <xf numFmtId="167" fontId="48" fillId="5" borderId="17" xfId="11" applyNumberFormat="1" applyFont="1" applyFill="1" applyBorder="1" applyAlignment="1">
      <alignment horizontal="right" vertical="center"/>
    </xf>
    <xf numFmtId="167" fontId="46" fillId="0" borderId="17" xfId="9" applyNumberFormat="1" applyFont="1" applyBorder="1" applyAlignment="1"/>
    <xf numFmtId="167" fontId="46" fillId="0" borderId="5" xfId="9" applyNumberFormat="1" applyFont="1" applyBorder="1" applyAlignment="1">
      <alignment horizontal="right"/>
    </xf>
    <xf numFmtId="167" fontId="53" fillId="0" borderId="18" xfId="6" applyNumberFormat="1" applyFont="1" applyBorder="1" applyAlignment="1">
      <alignment horizontal="right"/>
    </xf>
    <xf numFmtId="0" fontId="53" fillId="0" borderId="0" xfId="9" applyFont="1"/>
    <xf numFmtId="167" fontId="46" fillId="0" borderId="18" xfId="6" applyNumberFormat="1" applyFont="1" applyBorder="1" applyAlignment="1"/>
    <xf numFmtId="167" fontId="46" fillId="0" borderId="17" xfId="6" applyNumberFormat="1" applyFont="1" applyBorder="1" applyAlignment="1"/>
    <xf numFmtId="167" fontId="46" fillId="0" borderId="1" xfId="9" applyNumberFormat="1" applyFont="1" applyBorder="1" applyAlignment="1"/>
    <xf numFmtId="167" fontId="49" fillId="0" borderId="17" xfId="9" applyNumberFormat="1" applyFont="1" applyBorder="1" applyAlignment="1">
      <alignment vertical="center"/>
    </xf>
    <xf numFmtId="167" fontId="49" fillId="0" borderId="5" xfId="9" applyNumberFormat="1" applyFont="1" applyBorder="1" applyAlignment="1">
      <alignment horizontal="right"/>
    </xf>
    <xf numFmtId="167" fontId="48" fillId="0" borderId="30" xfId="11" applyNumberFormat="1" applyFont="1" applyBorder="1" applyAlignment="1">
      <alignment horizontal="right" vertical="center"/>
    </xf>
    <xf numFmtId="167" fontId="48" fillId="0" borderId="5" xfId="11" applyNumberFormat="1" applyFont="1" applyBorder="1" applyAlignment="1">
      <alignment horizontal="right" vertical="center"/>
    </xf>
    <xf numFmtId="167" fontId="49" fillId="0" borderId="30" xfId="11" applyNumberFormat="1" applyFont="1" applyBorder="1" applyAlignment="1">
      <alignment horizontal="right" vertical="center"/>
    </xf>
    <xf numFmtId="167" fontId="49" fillId="0" borderId="30" xfId="0" applyNumberFormat="1" applyFont="1" applyBorder="1" applyAlignment="1">
      <alignment horizontal="right" vertical="center"/>
    </xf>
    <xf numFmtId="167" fontId="50" fillId="0" borderId="18" xfId="11" applyNumberFormat="1" applyFont="1" applyBorder="1" applyAlignment="1">
      <alignment horizontal="right" vertical="center"/>
    </xf>
    <xf numFmtId="167" fontId="50" fillId="0" borderId="18" xfId="6" applyNumberFormat="1" applyFont="1" applyBorder="1" applyAlignment="1">
      <alignment horizontal="right"/>
    </xf>
    <xf numFmtId="167" fontId="48" fillId="0" borderId="30" xfId="6" applyNumberFormat="1" applyFont="1" applyBorder="1" applyAlignment="1">
      <alignment horizontal="right"/>
    </xf>
    <xf numFmtId="167" fontId="48" fillId="0" borderId="1" xfId="6" applyNumberFormat="1" applyFont="1" applyBorder="1" applyAlignment="1">
      <alignment horizontal="right"/>
    </xf>
    <xf numFmtId="167" fontId="49" fillId="0" borderId="30" xfId="9" applyNumberFormat="1" applyFont="1" applyBorder="1" applyAlignment="1">
      <alignment horizontal="right"/>
    </xf>
    <xf numFmtId="167" fontId="48" fillId="0" borderId="30" xfId="6" applyNumberFormat="1" applyFont="1" applyBorder="1" applyAlignment="1">
      <alignment horizontal="right" vertical="center"/>
    </xf>
    <xf numFmtId="0" fontId="45" fillId="0" borderId="3" xfId="9" applyFont="1" applyBorder="1" applyAlignment="1">
      <alignment horizontal="left" vertical="top" wrapText="1"/>
    </xf>
    <xf numFmtId="0" fontId="53" fillId="0" borderId="3" xfId="9" applyFont="1" applyBorder="1" applyAlignment="1">
      <alignment horizontal="left" vertical="top" wrapText="1"/>
    </xf>
    <xf numFmtId="0" fontId="18" fillId="8" borderId="1" xfId="9" applyFont="1" applyFill="1" applyBorder="1" applyAlignment="1">
      <alignment horizontal="center"/>
    </xf>
    <xf numFmtId="0" fontId="55" fillId="8" borderId="3" xfId="9" applyFont="1" applyFill="1" applyBorder="1" applyAlignment="1">
      <alignment horizontal="center" wrapText="1"/>
    </xf>
    <xf numFmtId="167" fontId="56" fillId="8" borderId="21" xfId="12" applyNumberFormat="1" applyFont="1" applyFill="1" applyBorder="1" applyAlignment="1">
      <alignment horizontal="right" vertical="center"/>
    </xf>
    <xf numFmtId="167" fontId="57" fillId="8" borderId="22" xfId="6" applyNumberFormat="1" applyFont="1" applyFill="1" applyBorder="1" applyAlignment="1">
      <alignment horizontal="right"/>
    </xf>
    <xf numFmtId="167" fontId="57" fillId="8" borderId="18" xfId="6" applyNumberFormat="1" applyFont="1" applyFill="1" applyBorder="1" applyAlignment="1">
      <alignment horizontal="right"/>
    </xf>
    <xf numFmtId="167" fontId="48" fillId="0" borderId="30" xfId="9" applyNumberFormat="1" applyFont="1" applyBorder="1" applyAlignment="1">
      <alignment horizontal="right" vertical="center"/>
    </xf>
    <xf numFmtId="0" fontId="56" fillId="8" borderId="1" xfId="11" applyFont="1" applyFill="1" applyBorder="1" applyAlignment="1">
      <alignment horizontal="center"/>
    </xf>
    <xf numFmtId="0" fontId="44" fillId="8" borderId="3" xfId="11" applyFont="1" applyFill="1" applyBorder="1"/>
    <xf numFmtId="167" fontId="56" fillId="8" borderId="17" xfId="12" applyNumberFormat="1" applyFont="1" applyFill="1" applyBorder="1" applyAlignment="1">
      <alignment horizontal="right" vertical="center"/>
    </xf>
    <xf numFmtId="167" fontId="56" fillId="8" borderId="1" xfId="12" applyNumberFormat="1" applyFont="1" applyFill="1" applyBorder="1" applyAlignment="1">
      <alignment horizontal="right" vertical="center"/>
    </xf>
    <xf numFmtId="167" fontId="57" fillId="8" borderId="18" xfId="11" applyNumberFormat="1" applyFont="1" applyFill="1" applyBorder="1" applyAlignment="1">
      <alignment horizontal="right" vertical="center"/>
    </xf>
    <xf numFmtId="166" fontId="18" fillId="7" borderId="1" xfId="11" applyNumberFormat="1" applyFont="1" applyFill="1" applyBorder="1" applyAlignment="1">
      <alignment horizontal="center" vertical="center" wrapText="1"/>
    </xf>
    <xf numFmtId="167" fontId="47" fillId="7" borderId="18" xfId="0" applyNumberFormat="1" applyFont="1" applyFill="1" applyBorder="1" applyAlignment="1">
      <alignment horizontal="center" vertical="center" wrapText="1"/>
    </xf>
    <xf numFmtId="167" fontId="50" fillId="0" borderId="31" xfId="11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 vertical="center"/>
    </xf>
    <xf numFmtId="167" fontId="50" fillId="0" borderId="18" xfId="6" applyNumberFormat="1" applyFont="1" applyBorder="1" applyAlignment="1">
      <alignment horizontal="right" vertical="center"/>
    </xf>
    <xf numFmtId="167" fontId="46" fillId="0" borderId="1" xfId="6" applyNumberFormat="1" applyFont="1" applyBorder="1" applyAlignment="1">
      <alignment horizontal="right" vertical="center"/>
    </xf>
    <xf numFmtId="0" fontId="52" fillId="3" borderId="1" xfId="0" applyNumberFormat="1" applyFont="1" applyFill="1" applyBorder="1" applyAlignment="1">
      <alignment vertical="top" wrapText="1"/>
    </xf>
    <xf numFmtId="0" fontId="51" fillId="3" borderId="3" xfId="0" applyNumberFormat="1" applyFont="1" applyFill="1" applyBorder="1" applyAlignment="1">
      <alignment vertical="top" wrapText="1"/>
    </xf>
    <xf numFmtId="0" fontId="53" fillId="0" borderId="3" xfId="9" applyFont="1" applyBorder="1" applyAlignment="1">
      <alignment vertical="top" wrapText="1"/>
    </xf>
    <xf numFmtId="0" fontId="45" fillId="0" borderId="3" xfId="9" applyFont="1" applyBorder="1" applyAlignment="1">
      <alignment vertical="top" wrapText="1"/>
    </xf>
    <xf numFmtId="0" fontId="44" fillId="3" borderId="3" xfId="9" applyFont="1" applyFill="1" applyBorder="1" applyAlignment="1">
      <alignment vertical="top" wrapText="1"/>
    </xf>
    <xf numFmtId="0" fontId="44" fillId="0" borderId="3" xfId="9" applyFont="1" applyBorder="1" applyAlignment="1">
      <alignment horizontal="left" vertical="top" wrapText="1"/>
    </xf>
    <xf numFmtId="0" fontId="51" fillId="0" borderId="3" xfId="9" applyFont="1" applyBorder="1" applyAlignment="1">
      <alignment horizontal="left" vertical="top" wrapText="1"/>
    </xf>
    <xf numFmtId="0" fontId="51" fillId="0" borderId="3" xfId="9" applyFont="1" applyBorder="1" applyAlignment="1">
      <alignment vertical="top" wrapText="1"/>
    </xf>
    <xf numFmtId="0" fontId="44" fillId="0" borderId="3" xfId="9" applyFont="1" applyBorder="1" applyAlignment="1">
      <alignment vertical="top" wrapText="1"/>
    </xf>
    <xf numFmtId="0" fontId="52" fillId="0" borderId="3" xfId="9" applyFont="1" applyBorder="1" applyAlignment="1">
      <alignment vertical="top" wrapText="1"/>
    </xf>
    <xf numFmtId="0" fontId="44" fillId="3" borderId="3" xfId="9" applyFont="1" applyFill="1" applyBorder="1" applyAlignment="1">
      <alignment horizontal="left" vertical="top" wrapText="1"/>
    </xf>
    <xf numFmtId="0" fontId="53" fillId="3" borderId="3" xfId="9" applyFont="1" applyFill="1" applyBorder="1" applyAlignment="1">
      <alignment horizontal="left" vertical="top" wrapText="1"/>
    </xf>
    <xf numFmtId="0" fontId="18" fillId="3" borderId="3" xfId="9" applyFont="1" applyFill="1" applyBorder="1" applyAlignment="1">
      <alignment vertical="top" wrapText="1"/>
    </xf>
    <xf numFmtId="0" fontId="19" fillId="0" borderId="3" xfId="9" applyFont="1" applyBorder="1" applyAlignment="1">
      <alignment vertical="top" wrapText="1"/>
    </xf>
    <xf numFmtId="0" fontId="53" fillId="0" borderId="3" xfId="9" applyFont="1" applyFill="1" applyBorder="1" applyAlignment="1">
      <alignment vertical="top" wrapText="1"/>
    </xf>
    <xf numFmtId="0" fontId="45" fillId="0" borderId="3" xfId="9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962" Type="http://schemas.openxmlformats.org/officeDocument/2006/relationships/revisionLog" Target="revisionLog137111.xml"/><Relationship Id="rId1975" Type="http://schemas.openxmlformats.org/officeDocument/2006/relationships/revisionLog" Target="revisionLog126.xml"/><Relationship Id="rId1970" Type="http://schemas.openxmlformats.org/officeDocument/2006/relationships/revisionLog" Target="revisionLog116.xml"/><Relationship Id="rId1978" Type="http://schemas.openxmlformats.org/officeDocument/2006/relationships/revisionLog" Target="revisionLog17.xml"/><Relationship Id="rId1928" Type="http://schemas.openxmlformats.org/officeDocument/2006/relationships/revisionLog" Target="revisionLog175.xml"/><Relationship Id="rId1949" Type="http://schemas.openxmlformats.org/officeDocument/2006/relationships/revisionLog" Target="revisionLog11431.xml"/><Relationship Id="rId1936" Type="http://schemas.openxmlformats.org/officeDocument/2006/relationships/revisionLog" Target="revisionLog11.xml"/><Relationship Id="rId1957" Type="http://schemas.openxmlformats.org/officeDocument/2006/relationships/revisionLog" Target="revisionLog14.xml"/><Relationship Id="rId1923" Type="http://schemas.openxmlformats.org/officeDocument/2006/relationships/revisionLog" Target="revisionLog1262.xml"/><Relationship Id="rId1944" Type="http://schemas.openxmlformats.org/officeDocument/2006/relationships/revisionLog" Target="revisionLog11321.xml"/><Relationship Id="rId1952" Type="http://schemas.openxmlformats.org/officeDocument/2006/relationships/revisionLog" Target="revisionLog13611.xml"/><Relationship Id="rId1931" Type="http://schemas.openxmlformats.org/officeDocument/2006/relationships/revisionLog" Target="revisionLog1125.xml"/><Relationship Id="rId1973" Type="http://schemas.openxmlformats.org/officeDocument/2006/relationships/revisionLog" Target="revisionLog138.xml"/><Relationship Id="rId1981" Type="http://schemas.openxmlformats.org/officeDocument/2006/relationships/revisionLog" Target="revisionLog12.xml"/><Relationship Id="rId1965" Type="http://schemas.openxmlformats.org/officeDocument/2006/relationships/revisionLog" Target="revisionLog128.xml"/><Relationship Id="rId1960" Type="http://schemas.openxmlformats.org/officeDocument/2006/relationships/revisionLog" Target="revisionLog1161.xml"/><Relationship Id="rId1927" Type="http://schemas.openxmlformats.org/officeDocument/2006/relationships/revisionLog" Target="revisionLog14211.xml"/><Relationship Id="rId1964" Type="http://schemas.openxmlformats.org/officeDocument/2006/relationships/revisionLog" Target="revisionLog113.xml"/><Relationship Id="rId1969" Type="http://schemas.openxmlformats.org/officeDocument/2006/relationships/revisionLog" Target="revisionLog114.xml"/><Relationship Id="rId1948" Type="http://schemas.openxmlformats.org/officeDocument/2006/relationships/revisionLog" Target="revisionLog112.xml"/><Relationship Id="rId1943" Type="http://schemas.openxmlformats.org/officeDocument/2006/relationships/revisionLog" Target="revisionLog1712.xml"/><Relationship Id="rId1922" Type="http://schemas.openxmlformats.org/officeDocument/2006/relationships/revisionLog" Target="revisionLog191.xml"/><Relationship Id="rId1930" Type="http://schemas.openxmlformats.org/officeDocument/2006/relationships/revisionLog" Target="revisionLog1331.xml"/><Relationship Id="rId1977" Type="http://schemas.openxmlformats.org/officeDocument/2006/relationships/revisionLog" Target="revisionLog137.xml"/><Relationship Id="rId1956" Type="http://schemas.openxmlformats.org/officeDocument/2006/relationships/revisionLog" Target="revisionLog1361.xml"/><Relationship Id="rId1951" Type="http://schemas.openxmlformats.org/officeDocument/2006/relationships/revisionLog" Target="revisionLog1351.xml"/><Relationship Id="rId1935" Type="http://schemas.openxmlformats.org/officeDocument/2006/relationships/revisionLog" Target="revisionLog1143111.xml"/><Relationship Id="rId1939" Type="http://schemas.openxmlformats.org/officeDocument/2006/relationships/revisionLog" Target="revisionLog114311.xml"/><Relationship Id="rId1980" Type="http://schemas.openxmlformats.org/officeDocument/2006/relationships/revisionLog" Target="revisionLog3.xml"/><Relationship Id="rId1972" Type="http://schemas.openxmlformats.org/officeDocument/2006/relationships/revisionLog" Target="revisionLog1371.xml"/><Relationship Id="rId1926" Type="http://schemas.openxmlformats.org/officeDocument/2006/relationships/revisionLog" Target="revisionLog1122.xml"/><Relationship Id="rId1947" Type="http://schemas.openxmlformats.org/officeDocument/2006/relationships/revisionLog" Target="revisionLog141.xml"/><Relationship Id="rId1968" Type="http://schemas.openxmlformats.org/officeDocument/2006/relationships/revisionLog" Target="revisionLog171.xml"/><Relationship Id="rId1934" Type="http://schemas.openxmlformats.org/officeDocument/2006/relationships/revisionLog" Target="revisionLog113211.xml"/><Relationship Id="rId1942" Type="http://schemas.openxmlformats.org/officeDocument/2006/relationships/revisionLog" Target="revisionLog1414.xml"/><Relationship Id="rId1921" Type="http://schemas.openxmlformats.org/officeDocument/2006/relationships/revisionLog" Target="revisionLog11221.xml"/><Relationship Id="rId1963" Type="http://schemas.openxmlformats.org/officeDocument/2006/relationships/revisionLog" Target="revisionLog1381.xml"/><Relationship Id="rId1976" Type="http://schemas.openxmlformats.org/officeDocument/2006/relationships/revisionLog" Target="revisionLog131.xml"/><Relationship Id="rId1971" Type="http://schemas.openxmlformats.org/officeDocument/2006/relationships/revisionLog" Target="revisionLog132.xml"/><Relationship Id="rId1955" Type="http://schemas.openxmlformats.org/officeDocument/2006/relationships/revisionLog" Target="revisionLog130.xml"/><Relationship Id="rId1950" Type="http://schemas.openxmlformats.org/officeDocument/2006/relationships/revisionLog" Target="revisionLog1163.xml"/><Relationship Id="rId1959" Type="http://schemas.openxmlformats.org/officeDocument/2006/relationships/revisionLog" Target="revisionLog1143.xml"/><Relationship Id="rId1954" Type="http://schemas.openxmlformats.org/officeDocument/2006/relationships/revisionLog" Target="revisionLog1132.xml"/><Relationship Id="rId1925" Type="http://schemas.openxmlformats.org/officeDocument/2006/relationships/revisionLog" Target="revisionLog13311.xml"/><Relationship Id="rId1933" Type="http://schemas.openxmlformats.org/officeDocument/2006/relationships/revisionLog" Target="revisionLog17121.xml"/><Relationship Id="rId1938" Type="http://schemas.openxmlformats.org/officeDocument/2006/relationships/revisionLog" Target="revisionLog1123.xml"/><Relationship Id="rId1967" Type="http://schemas.openxmlformats.org/officeDocument/2006/relationships/revisionLog" Target="revisionLog13711.xml"/><Relationship Id="rId1941" Type="http://schemas.openxmlformats.org/officeDocument/2006/relationships/revisionLog" Target="revisionLog1341.xml"/><Relationship Id="rId1946" Type="http://schemas.openxmlformats.org/officeDocument/2006/relationships/revisionLog" Target="revisionLog13511.xml"/><Relationship Id="rId1929" Type="http://schemas.openxmlformats.org/officeDocument/2006/relationships/revisionLog" Target="revisionLog1132111.xml"/><Relationship Id="rId1924" Type="http://schemas.openxmlformats.org/officeDocument/2006/relationships/revisionLog" Target="revisionLog1321.xml"/><Relationship Id="rId1937" Type="http://schemas.openxmlformats.org/officeDocument/2006/relationships/revisionLog" Target="revisionLog142.xml"/><Relationship Id="rId1979" Type="http://schemas.openxmlformats.org/officeDocument/2006/relationships/revisionLog" Target="revisionLog2.xml"/><Relationship Id="rId1953" Type="http://schemas.openxmlformats.org/officeDocument/2006/relationships/revisionLog" Target="revisionLog1713.xml"/><Relationship Id="rId1958" Type="http://schemas.openxmlformats.org/officeDocument/2006/relationships/revisionLog" Target="revisionLog19.xml"/><Relationship Id="rId1974" Type="http://schemas.openxmlformats.org/officeDocument/2006/relationships/revisionLog" Target="revisionLog139.xml"/><Relationship Id="rId1932" Type="http://schemas.openxmlformats.org/officeDocument/2006/relationships/revisionLog" Target="revisionLog1421.xml"/><Relationship Id="rId1940" Type="http://schemas.openxmlformats.org/officeDocument/2006/relationships/revisionLog" Target="revisionLog133.xml"/><Relationship Id="rId1945" Type="http://schemas.openxmlformats.org/officeDocument/2006/relationships/revisionLog" Target="revisionLog134.xml"/><Relationship Id="rId1966" Type="http://schemas.openxmlformats.org/officeDocument/2006/relationships/revisionLog" Target="revisionLog136.xml"/><Relationship Id="rId1961" Type="http://schemas.openxmlformats.org/officeDocument/2006/relationships/revisionLog" Target="revisionLog135.xml"/><Relationship Id="rId198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26CFB8D9-490A-413E-A8B8-55777BCAD116}" diskRevisions="1" revisionId="95032" version="3">
  <header guid="{3346EFE1-0E82-4C7A-8F11-78F085079EEE}" dateTime="2025-01-13T08:28:53" maxSheetId="26" userName="morgau_fin3" r:id="rId1921" minRId="92842" maxRId="9284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2045835-C482-488E-BE82-AD201563B557}" dateTime="2025-01-13T08:36:23" maxSheetId="26" userName="morgau_fin3" r:id="rId1922" minRId="92877" maxRId="9288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B65CC10-7010-4CBD-A317-09CBF6955BBA}" dateTime="2025-01-13T08:42:08" maxSheetId="26" userName="morgau_fin3" r:id="rId1923" minRId="92912" maxRId="9292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E45C1FA-23E6-465F-A395-C567B5C9F234}" dateTime="2025-01-13T08:44:30" maxSheetId="26" userName="morgau_fin3" r:id="rId1924" minRId="92953" maxRId="9295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D2653AB-DF1B-4816-8DBA-DFCEA3183A37}" dateTime="2025-01-13T09:30:19" maxSheetId="26" userName="morgau_fin3" r:id="rId1925" minRId="92987" maxRId="9300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986AFC8-47EA-4CAE-B23A-3C55F71267C5}" dateTime="2025-01-13T09:31:14" maxSheetId="26" userName="morgau_fin3" r:id="rId1926" minRId="93032" maxRId="9303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48F5A9B-7F6A-4B52-BF6B-CED84B497B78}" dateTime="2025-01-13T09:32:16" maxSheetId="26" userName="morgau_fin3" r:id="rId1927" minRId="93068" maxRId="9307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3D48D6C-12E6-4E9F-AAD7-3A92C4222EE5}" dateTime="2025-01-13T09:34:02" maxSheetId="26" userName="morgau_fin3" r:id="rId1928" minRId="93102" maxRId="9310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CD79361-1370-4A7F-8A2D-A82534FE6137}" dateTime="2025-01-13T09:38:30" maxSheetId="26" userName="morgau_fin3" r:id="rId1929" minRId="93134" maxRId="9314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01BBFB0-F3CE-4BAE-B52E-851FBB165A01}" dateTime="2025-01-13T09:41:24" maxSheetId="26" userName="morgau_fin3" r:id="rId1930" minRId="93173" maxRId="9317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F22D3A1-03FD-4750-8671-B7EB72C52B4B}" dateTime="2025-01-13T09:43:41" maxSheetId="26" userName="morgau_fin3" r:id="rId1931" minRId="9320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F0884C4-D0AC-40FB-B45E-96EEE2A7717F}" dateTime="2025-01-13T09:49:47" maxSheetId="26" userName="morgau_fin3" r:id="rId1932" minRId="93238" maxRId="9324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7877F11-6FE6-40C7-83A0-33240D7CF1A7}" dateTime="2025-01-13T09:52:06" maxSheetId="26" userName="morgau_fin3" r:id="rId1933" minRId="93274" maxRId="9327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0B40A0E-80EB-4324-BB49-2802372163A9}" dateTime="2025-01-13T10:03:58" maxSheetId="26" userName="morgau_fin3" r:id="rId1934" minRId="93308" maxRId="9331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6E173EA-0DFB-460A-88FF-1E715348CB69}" dateTime="2025-01-13T10:13:01" maxSheetId="26" userName="morgau_fin3" r:id="rId1935" minRId="93344" maxRId="9334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286073B-7109-4D65-AB31-19874C488489}" dateTime="2025-01-13T10:19:31" maxSheetId="26" userName="morgau_fin3" r:id="rId1936" minRId="93377" maxRId="9338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8C43889-BE89-44D0-9749-F5060433FDFC}" dateTime="2025-01-13T10:32:27" maxSheetId="26" userName="morgau_fin3" r:id="rId1937" minRId="9341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B38895D-5E0B-4B76-9EED-E7D7487A4430}" dateTime="2025-01-13T10:34:29" maxSheetId="26" userName="morgau_fin3" r:id="rId193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EBD19A5-57BB-4797-8AEF-74632E37F73F}" dateTime="2025-01-13T10:34:56" maxSheetId="26" userName="morgau_fin3" r:id="rId193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42B2549-DC7F-4ACC-A416-6788E9B350EA}" dateTime="2025-01-13T10:37:24" maxSheetId="26" userName="morgau_fin3" r:id="rId1940" minRId="93504" maxRId="9350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F52E0C4-28E7-498E-B0E0-06C77ACC4F35}" dateTime="2025-01-13T10:53:38" maxSheetId="26" userName="morgau_fin3" r:id="rId1941" minRId="9353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D98C9B1-84F7-49FD-AABA-10DE732E0102}" dateTime="2025-01-13T10:57:30" maxSheetId="26" userName="morgau_fin3" r:id="rId1942" minRId="93567" maxRId="9357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3931BB3-507A-4327-943F-A0167064CA3E}" dateTime="2025-01-13T10:58:36" maxSheetId="26" userName="morgau_fin3" r:id="rId1943" minRId="93607" maxRId="9360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2EDD462-4445-4F7D-B650-688FDBC5BEFD}" dateTime="2025-01-13T11:00:16" maxSheetId="26" userName="morgau_fin3" r:id="rId1944" minRId="93640" maxRId="9364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E6FF202-E808-40FD-85BC-DCC8522A4211}" dateTime="2025-01-13T11:00:31" maxSheetId="26" userName="morgau_fin3" r:id="rId194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3C51E48-AC0B-4721-81BB-2A93759747AE}" dateTime="2025-01-13T11:01:45" maxSheetId="26" userName="morgau_fin3" r:id="rId194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D841830-D4F8-42F5-B9DA-DD6E3241808A}" dateTime="2025-01-14T17:01:13" maxSheetId="26" userName="morgau_fin3" r:id="rId194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A390AA5-72DC-48B5-B34A-E9881FC72822}" dateTime="2025-01-15T10:17:32" maxSheetId="26" userName="morgau_fin3" r:id="rId1948" minRId="93767" maxRId="9378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86B350E-8E25-4CEC-955E-6F8EA6997C6B}" dateTime="2025-01-15T10:18:44" maxSheetId="26" userName="morgau_fin3" r:id="rId1949" minRId="93817" maxRId="9381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6B902F9-D83B-42B2-925F-9AB49EF32409}" dateTime="2025-01-15T10:20:02" maxSheetId="26" userName="morgau_fin3" r:id="rId1950" minRId="93850" maxRId="9385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DEA13C4-4BCE-4139-80C7-48BC90B1B54E}" dateTime="2025-01-15T10:25:31" maxSheetId="26" userName="morgau_fin3" r:id="rId1951" minRId="93883" maxRId="9389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DE6AD12-5E2E-486B-9786-18B3143D54C0}" dateTime="2025-01-15T10:28:10" maxSheetId="26" userName="morgau_fin3" r:id="rId1952" minRId="93929" maxRId="9393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A7E450D-550F-4E8D-AAE4-43B1F70F2167}" dateTime="2025-01-15T11:11:28" maxSheetId="26" userName="morgau_fin3" r:id="rId1953" minRId="93966" maxRId="9400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608BD35-D506-4F04-B366-269381335C2B}" dateTime="2025-01-15T11:15:52" maxSheetId="26" userName="morgau_fin3" r:id="rId1954" minRId="94038" maxRId="9404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9F07A4D-5B4E-425B-B482-D32A21D0AE56}" dateTime="2025-01-15T11:42:12" maxSheetId="26" userName="morgau_fin3" r:id="rId1955" minRId="94080" maxRId="9409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289D98E-9673-4F02-9315-37B4920C000C}" dateTime="2025-01-15T11:42:28" maxSheetId="26" userName="morgau_fin3" r:id="rId195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FCD39F1-08A9-42E9-AD8D-88EB84BBAE7F}" dateTime="2025-01-15T11:51:04" maxSheetId="26" userName="morgau_fin3" r:id="rId195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95A4689-748B-434D-8688-F2FB584C3BD1}" dateTime="2025-01-15T14:10:36" maxSheetId="26" userName="morgau_fin3" r:id="rId1958" minRId="94184" maxRId="9419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6B8650E-1DCC-4468-80DA-0062D38C5BAD}" dateTime="2025-01-15T14:17:56" maxSheetId="26" userName="morgau_fin3" r:id="rId1959" minRId="94226" maxRId="9423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05ADA24-80C4-4653-BFE1-3A300654BCD2}" dateTime="2025-01-15T14:18:42" maxSheetId="26" userName="morgau_fin3" r:id="rId196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FDE80E3-326F-4213-9FE4-C18D39A74BBC}" dateTime="2025-01-15T14:30:22" maxSheetId="26" userName="morgau_fin3" r:id="rId1961" minRId="94291" maxRId="9429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6C789C8-DEF8-4C33-BE93-6F073B27259C}" dateTime="2025-01-15T14:37:30" maxSheetId="26" userName="morgau_fin3" r:id="rId1962" minRId="94324" maxRId="9432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7361CC0-AE96-4067-A917-EE677D524D82}" dateTime="2025-01-15T14:42:47" maxSheetId="26" userName="morgau_fin3" r:id="rId1963" minRId="94358" maxRId="9436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FF7D086-E232-4C16-87CE-F8F78C52185B}" dateTime="2025-01-15T14:57:49" maxSheetId="26" userName="morgau_fin3" r:id="rId196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EDF9C3B-434A-4557-B6EB-AD28ECAD014E}" dateTime="2025-01-15T14:59:30" maxSheetId="26" userName="morgau_fin3" r:id="rId1965" minRId="94423" maxRId="9442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BBD94A2-82D4-43B8-8C54-D268C7FC95C7}" dateTime="2025-01-15T15:05:37" maxSheetId="26" userName="morgau_fin3" r:id="rId1966" minRId="94455" maxRId="9446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A59A46A-2462-43BE-B9C1-29CF40B565FC}" dateTime="2025-01-15T15:15:14" maxSheetId="26" userName="morgau_fin3" r:id="rId1967" minRId="94493" maxRId="9449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B8DD9CE-511B-49A0-B6AA-7BF24A579839}" dateTime="2025-01-15T15:16:40" maxSheetId="26" userName="morgau_fin3" r:id="rId1968" minRId="9452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7622B8F-4BDC-4E49-B30B-094C06F6C649}" dateTime="2025-01-15T15:35:29" maxSheetId="26" userName="morgau_fin3" r:id="rId1969" minRId="94557" maxRId="9456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614B2BB-7864-4FEB-94BD-31119C1E9CD1}" dateTime="2025-01-15T16:11:11" maxSheetId="26" userName="morgau_fin3" r:id="rId1970" minRId="94591" maxRId="9460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23AB4B6-A910-4C94-BEBA-10CB1BCE2E62}" dateTime="2025-01-15T16:11:16" maxSheetId="26" userName="morgau_fin3" r:id="rId197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AEA7805-6DFE-45D0-B8C4-0A0ACD01C6B2}" dateTime="2025-01-15T16:14:58" maxSheetId="26" userName="morgau_fin3" r:id="rId1972" minRId="9466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9ECCDC4-FC48-4487-BF04-31DAF3779A1A}" dateTime="2025-01-15T16:19:24" maxSheetId="26" userName="morgau_fin3" r:id="rId1973" minRId="94695" maxRId="9469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2C6B1E7-C5E3-449D-B7E5-ABA932633C2C}" dateTime="2025-01-15T16:22:16" maxSheetId="26" userName="morgau_fin3" r:id="rId1974" minRId="94727" maxRId="947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7E5FDE6-D70F-4E65-B993-5BF91436D8F7}" dateTime="2025-01-15T16:37:13" maxSheetId="26" userName="morgau_fin3" r:id="rId1975" minRId="94759" maxRId="9476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006053D-404F-4527-BD0C-491FD5A3CBF1}" dateTime="2025-01-15T16:42:45" maxSheetId="26" userName="morgau_fin3" r:id="rId1976" minRId="94800" maxRId="9480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7E10FB1-D7E6-4B47-92DB-949D227C9A80}" dateTime="2025-01-15T16:50:07" maxSheetId="26" userName="morgau_fin3" r:id="rId197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38C6FF0-69E9-4F3B-82B9-90D034122F82}" dateTime="2025-01-16T14:47:03" maxSheetId="26" userName="morgau_fin3" r:id="rId197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03D0354-A1CF-486B-9F90-AEE5BF864CB1}" dateTime="2025-01-16T16:50:40" maxSheetId="26" userName="Ананьева Рената Иосифовна" r:id="rId1979" minRId="94892" maxRId="9491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D4F2AD3-F07D-4B8D-9E14-A3EFED96CC9C}" dateTime="2025-01-16T16:50:53" maxSheetId="26" userName="Ананьева Рената Иосифовна" r:id="rId198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959E52D-5B78-4B2C-B92A-C389541BDF6C}" dateTime="2025-01-16T16:54:31" maxSheetId="26" userName="morgau_fin3" r:id="rId198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6CFB8D9-490A-413E-A8B8-55777BCAD116}" dateTime="2025-01-17T11:13:36" maxSheetId="26" userName="morgau_fin3" r:id="rId1982" minRId="9500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95002" sId="3">
    <nc r="E195">
      <f>SUM(D195/C195*100)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93377" sId="3" numFmtId="4">
    <oc r="F150">
      <v>114058.47663999999</v>
    </oc>
    <nc r="F150">
      <v>132522.16704999999</v>
    </nc>
  </rcc>
  <rcc rId="93378" sId="3" numFmtId="4">
    <oc r="F152">
      <v>968.68</v>
    </oc>
    <nc r="F152">
      <v>1463.3</v>
    </nc>
  </rcc>
  <rcc rId="93379" sId="3" numFmtId="4">
    <oc r="F154">
      <v>398506.57844000001</v>
    </oc>
    <nc r="F154">
      <v>453214.49125000002</v>
    </nc>
  </rcc>
  <rcc rId="93380" sId="3" numFmtId="4">
    <oc r="F155">
      <v>9203.2278200000001</v>
    </oc>
    <nc r="F155">
      <v>12601.62529</v>
    </nc>
  </rcc>
  <rcc rId="93381" sId="3" numFmtId="4">
    <oc r="F156">
      <v>1302.9750200000001</v>
    </oc>
    <nc r="F156">
      <v>2376.328</v>
    </nc>
  </rcc>
  <rcc rId="93382" sId="3" numFmtId="4">
    <oc r="F161">
      <v>2928.4944700000001</v>
    </oc>
    <nc r="F161">
      <v>3194.7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93767" sId="3" numFmtId="4">
    <oc r="C7">
      <v>234679.1</v>
    </oc>
    <nc r="C7">
      <v>218789.1</v>
    </nc>
  </rcc>
  <rcc rId="93768" sId="3" numFmtId="4">
    <oc r="D7">
      <v>205818.64528</v>
    </oc>
    <nc r="D7">
      <v>220064.52415000001</v>
    </nc>
  </rcc>
  <rcc rId="93769" sId="3" numFmtId="4">
    <oc r="D9">
      <v>10117.585940000001</v>
    </oc>
    <nc r="D9">
      <v>11016.295469999999</v>
    </nc>
  </rcc>
  <rcc rId="93770" sId="3" numFmtId="4">
    <oc r="D10">
      <v>58.502110000000002</v>
    </oc>
    <nc r="D10">
      <v>63.650649999999999</v>
    </nc>
  </rcc>
  <rcc rId="93771" sId="3" numFmtId="4">
    <oc r="D11">
      <v>10470.34318</v>
    </oc>
    <nc r="D11">
      <v>11442.302100000001</v>
    </nc>
  </rcc>
  <rcc rId="93772" sId="3" numFmtId="4">
    <oc r="D12">
      <v>-1120.5088000000001</v>
    </oc>
    <nc r="D12">
      <v>-1199.1094000000001</v>
    </nc>
  </rcc>
  <rcc rId="93773" sId="3" numFmtId="4">
    <oc r="C14">
      <v>26600</v>
    </oc>
    <nc r="C14">
      <v>29100</v>
    </nc>
  </rcc>
  <rcc rId="93774" sId="3" numFmtId="4">
    <oc r="D14">
      <v>29024.011559999999</v>
    </oc>
    <nc r="D14">
      <v>29863.42424</v>
    </nc>
  </rcc>
  <rcc rId="93775" sId="3" numFmtId="4">
    <oc r="D15">
      <v>20.355709999999998</v>
    </oc>
    <nc r="D15">
      <v>22.009709999999998</v>
    </nc>
  </rcc>
  <rcc rId="93776" sId="3" numFmtId="4">
    <oc r="D16">
      <v>27834.781900000002</v>
    </oc>
    <nc r="D16">
      <v>27835.569100000001</v>
    </nc>
  </rcc>
  <rcc rId="93777" sId="3" numFmtId="4">
    <oc r="C17">
      <v>3000</v>
    </oc>
    <nc r="C17">
      <v>2500</v>
    </nc>
  </rcc>
  <rcc rId="93778" sId="3" numFmtId="4">
    <oc r="D17">
      <v>2653.5068500000002</v>
    </oc>
    <nc r="D17">
      <v>2492.8626199999999</v>
    </nc>
  </rcc>
  <rcc rId="93779" sId="3" numFmtId="4">
    <oc r="D19">
      <v>5914.9615999999996</v>
    </oc>
    <nc r="D19">
      <v>8134.54342</v>
    </nc>
  </rcc>
  <rcc rId="93780" sId="3" numFmtId="4">
    <oc r="D21">
      <v>219.23294999999999</v>
    </oc>
    <nc r="D21">
      <v>221.44074000000001</v>
    </nc>
  </rcc>
  <rcc rId="93781" sId="3" numFmtId="4">
    <oc r="D22">
      <v>2297.6093799999999</v>
    </oc>
    <nc r="D22">
      <v>2958.3274200000001</v>
    </nc>
  </rcc>
  <rcc rId="93782" sId="3" numFmtId="4">
    <oc r="C24">
      <v>5500</v>
    </oc>
    <nc r="C24">
      <v>5200</v>
    </nc>
  </rcc>
  <rcc rId="93783" sId="3" numFmtId="4">
    <oc r="D24">
      <v>5203.9971999999998</v>
    </oc>
    <nc r="D24">
      <v>5251.6822000000002</v>
    </nc>
  </rcc>
  <rcc rId="93784" sId="3" numFmtId="4">
    <oc r="C25">
      <v>12500</v>
    </oc>
    <nc r="C25">
      <v>11300</v>
    </nc>
  </rcc>
  <rcc rId="93785" sId="3" numFmtId="4">
    <oc r="C23">
      <v>18000</v>
    </oc>
    <nc r="C23">
      <f>SUM(C24:C25)</f>
    </nc>
  </rcc>
  <rcc rId="93786" sId="3" numFmtId="4">
    <oc r="D25">
      <v>9236.4004800000002</v>
    </oc>
    <nc r="D25">
      <v>11442.59267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c rId="93032" sId="3" numFmtId="4">
    <oc r="F83">
      <v>7.6836000000000002</v>
    </oc>
    <nc r="F83">
      <v>50</v>
    </nc>
  </rcc>
  <rcc rId="93033" sId="3" numFmtId="4">
    <oc r="F84">
      <v>57796.869039999998</v>
    </oc>
    <nc r="F84">
      <v>68886.730559999996</v>
    </nc>
  </rcc>
  <rcc rId="93034" sId="3" numFmtId="4">
    <oc r="F86">
      <v>6149.1840599999996</v>
    </oc>
    <nc r="F86">
      <v>7224.6938</v>
    </nc>
  </rcc>
  <rcc rId="93035" sId="3" numFmtId="4">
    <oc r="F89">
      <v>27193.01226</v>
    </oc>
    <nc r="F89">
      <v>32056.704580000001</v>
    </nc>
  </rcc>
  <rcc rId="93036" sId="3" odxf="1" dxf="1" numFmtId="4">
    <oc r="F90">
      <v>0</v>
    </oc>
    <nc r="F90">
      <v>788.47</v>
    </nc>
    <odxf>
      <font>
        <i val="0"/>
        <sz val="20"/>
        <name val="Times New Roman"/>
        <scheme val="none"/>
      </font>
      <alignment vertical="top" readingOrder="0"/>
      <border outline="0">
        <left style="medium">
          <color indexed="64"/>
        </left>
      </border>
    </odxf>
    <ndxf>
      <font>
        <i/>
        <sz val="20"/>
        <name val="Times New Roman"/>
        <scheme val="none"/>
      </font>
      <alignment vertical="center" readingOrder="0"/>
      <border outline="0">
        <left style="thin">
          <color indexed="64"/>
        </left>
      </border>
    </ndxf>
  </rcc>
  <rcc rId="93037" sId="3" numFmtId="4">
    <oc r="F92">
      <v>1610.71795</v>
    </oc>
    <nc r="F92">
      <v>1788.6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.xml><?xml version="1.0" encoding="utf-8"?>
<revisions xmlns="http://schemas.openxmlformats.org/spreadsheetml/2006/main" xmlns:r="http://schemas.openxmlformats.org/officeDocument/2006/relationships">
  <rcc rId="92842" sId="3">
    <oc r="A2" t="inlineStr">
      <is>
        <t xml:space="preserve">                                                                                Моргаушского муниципального округа на 01.12.2024 г.</t>
      </is>
    </oc>
    <nc r="A2" t="inlineStr">
      <is>
        <t xml:space="preserve">                                                                                Моргаушского муниципального округа на 01.01.2025 г.</t>
      </is>
    </nc>
  </rcc>
  <rcc rId="92843" sId="3">
    <oc r="D4" t="inlineStr">
      <is>
        <t>исполнено на 01.12.2024 г.</t>
      </is>
    </oc>
    <nc r="D4" t="inlineStr">
      <is>
        <t>исполнено на 01.01.2025 г.</t>
      </is>
    </nc>
  </rcc>
  <rcc rId="92844" sId="3">
    <oc r="F4" t="inlineStr">
      <is>
        <t>исполнено на 01.12.2023г.</t>
      </is>
    </oc>
    <nc r="F4" t="inlineStr">
      <is>
        <t>исполнено на 01.01.2024г.</t>
      </is>
    </nc>
  </rcc>
  <rcc rId="92845" sId="3">
    <oc r="D81" t="inlineStr">
      <is>
        <t>исполнено на 01.12.2024 г.</t>
      </is>
    </oc>
    <nc r="D81" t="inlineStr">
      <is>
        <t>исполнено на 01.01.2025 г.</t>
      </is>
    </nc>
  </rcc>
  <rcc rId="92846" sId="3">
    <oc r="F81" t="inlineStr">
      <is>
        <t>исполнено на 01.12.2023г.</t>
      </is>
    </oc>
    <nc r="F81" t="inlineStr">
      <is>
        <t>исполнено на 01.01.2025г.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3.xml><?xml version="1.0" encoding="utf-8"?>
<revisions xmlns="http://schemas.openxmlformats.org/spreadsheetml/2006/main" xmlns:r="http://schemas.openxmlformats.org/officeDocument/2006/relationships">
  <rfmt sheetId="3" sqref="F152">
    <dxf>
      <alignment vertical="bottom" readingOrder="0"/>
    </dxf>
  </rfmt>
  <rfmt sheetId="3" sqref="F153">
    <dxf>
      <alignment horizontal="general" readingOrder="0"/>
    </dxf>
  </rfmt>
  <rfmt sheetId="3" sqref="F155:F156">
    <dxf>
      <alignment horizontal="general" readingOrder="0"/>
    </dxf>
  </rfmt>
  <rfmt sheetId="3" sqref="F155:F156">
    <dxf>
      <alignment vertical="bottom" readingOrder="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5.xml><?xml version="1.0" encoding="utf-8"?>
<revisions xmlns="http://schemas.openxmlformats.org/spreadsheetml/2006/main" xmlns:r="http://schemas.openxmlformats.org/officeDocument/2006/relationships">
  <rcc rId="93207" sId="3" numFmtId="4">
    <oc r="F116">
      <v>3570.6634100000001</v>
    </oc>
    <nc r="F116">
      <v>6216.4460600000002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94038" sId="3" numFmtId="4">
    <oc r="C146">
      <v>1662.05</v>
    </oc>
    <nc r="C146">
      <v>1661.7170000000001</v>
    </nc>
  </rcc>
  <rcc rId="94039" sId="3" numFmtId="4">
    <oc r="D146">
      <v>1437.56978</v>
    </oc>
    <nc r="D146">
      <v>1613.4297200000001</v>
    </nc>
  </rcc>
  <rcc rId="94040" sId="3" numFmtId="4">
    <oc r="C150">
      <v>153649.12114</v>
    </oc>
    <nc r="C150">
      <v>151675.52937999999</v>
    </nc>
  </rcc>
  <rcc rId="94041" sId="3" numFmtId="4">
    <oc r="D150">
      <v>135234.43492</v>
    </oc>
    <nc r="D150">
      <v>151669.03520000001</v>
    </nc>
  </rcc>
  <rcc rId="94042" sId="3" numFmtId="4">
    <oc r="C154">
      <v>562953.51546000002</v>
    </oc>
    <nc r="C154">
      <v>551452.81461</v>
    </nc>
  </rcc>
  <rcc rId="94043" sId="3" numFmtId="4">
    <oc r="D154">
      <v>487395.92653</v>
    </oc>
    <nc r="D154">
      <v>547081.55506000004</v>
    </nc>
  </rcc>
  <rcc rId="94044" sId="3" numFmtId="4">
    <oc r="C163">
      <v>27014.32618</v>
    </oc>
    <nc r="C163">
      <v>27598.087179999999</v>
    </nc>
  </rcc>
  <rcc rId="94045" sId="3" numFmtId="4">
    <oc r="D163">
      <v>26232.596989999998</v>
    </oc>
    <nc r="D163">
      <v>27243.35799</v>
    </nc>
  </rcc>
  <rcc rId="94046" sId="3" numFmtId="4">
    <oc r="D167">
      <v>81.099999999999994</v>
    </oc>
    <nc r="D167">
      <v>114.1</v>
    </nc>
  </rcc>
  <rcc rId="94047" sId="3" numFmtId="4">
    <oc r="D168">
      <v>261.82337000000001</v>
    </oc>
    <nc r="D168">
      <v>525.96847000000002</v>
    </nc>
  </rcc>
  <rcc rId="94048" sId="3" numFmtId="4">
    <oc r="C169">
      <v>9566.4732700000004</v>
    </oc>
    <nc r="C169">
      <v>9535.5612700000001</v>
    </nc>
  </rcc>
  <rcc rId="94049" sId="3" numFmtId="4">
    <oc r="D169">
      <v>8061.5471100000004</v>
    </oc>
    <nc r="D169">
      <v>9268.0036700000001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21.xml><?xml version="1.0" encoding="utf-8"?>
<revisions xmlns="http://schemas.openxmlformats.org/spreadsheetml/2006/main" xmlns:r="http://schemas.openxmlformats.org/officeDocument/2006/relationships">
  <rcc rId="93640" sId="3" numFmtId="4">
    <oc r="F184">
      <v>33329.719360000003</v>
    </oc>
    <nc r="F184">
      <v>57387.207640000001</v>
    </nc>
  </rcc>
  <rcc rId="93641" sId="3" numFmtId="4">
    <oc r="F186">
      <v>7843.5060000000003</v>
    </oc>
    <nc r="F186">
      <v>27640.1</v>
    </nc>
  </rcc>
  <rcc rId="93642" sId="3" numFmtId="4">
    <oc r="F187">
      <v>9505.3832000000002</v>
    </oc>
    <nc r="F187">
      <v>13653.7</v>
    </nc>
  </rcc>
  <rcc rId="93643" sId="3" numFmtId="4">
    <oc r="F188">
      <v>68.228160000000003</v>
    </oc>
    <nc r="F188">
      <v>80.900000000000006</v>
    </nc>
  </rcc>
  <rcc rId="93644" sId="3" numFmtId="4">
    <oc r="F190">
      <v>911.56129999999996</v>
    </oc>
    <nc r="F190">
      <v>1091.4000000000001</v>
    </nc>
  </rcc>
  <rcc rId="93645" sId="3" numFmtId="4">
    <oc r="F191">
      <v>911.56129999999996</v>
    </oc>
    <nc r="F191">
      <v>1091.0999999999999</v>
    </nc>
  </rcc>
  <rcc rId="93646" sId="3" numFmtId="4">
    <oc r="F192">
      <v>7891.05</v>
    </oc>
    <nc r="F192">
      <v>8702.7000000000007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211.xml><?xml version="1.0" encoding="utf-8"?>
<revisions xmlns="http://schemas.openxmlformats.org/spreadsheetml/2006/main" xmlns:r="http://schemas.openxmlformats.org/officeDocument/2006/relationships">
  <rcc rId="93308" sId="3" numFmtId="4">
    <oc r="F133">
      <v>40694.94255</v>
    </oc>
    <nc r="F133">
      <v>47252.119169999998</v>
    </nc>
  </rcc>
  <rcc rId="93309" sId="3" numFmtId="4">
    <oc r="F137">
      <v>5491.3979600000002</v>
    </oc>
    <nc r="F137">
      <v>7049.4763700000003</v>
    </nc>
  </rcc>
  <rcc rId="93310" sId="3" numFmtId="4">
    <oc r="F135">
      <v>6051.6724299999996</v>
    </oc>
    <nc r="F135">
      <v>7955.3542200000002</v>
    </nc>
  </rcc>
  <rcc rId="93311" sId="3" numFmtId="4">
    <oc r="F139">
      <v>9410.9510499999997</v>
    </oc>
    <nc r="F139">
      <v>9863.4708800000008</v>
    </nc>
  </rcc>
  <rcc rId="93312" sId="3" numFmtId="4">
    <oc r="F140">
      <v>0</v>
    </oc>
    <nc r="F140"/>
  </rcc>
  <rcc rId="93313" sId="3" odxf="1" dxf="1" numFmtId="4">
    <nc r="F143">
      <v>3.7</v>
    </nc>
    <odxf>
      <font>
        <sz val="18"/>
        <name val="Times New Roman"/>
        <scheme val="none"/>
      </font>
      <alignment vertical="center" readingOrder="0"/>
      <border outline="0">
        <left/>
      </border>
    </odxf>
    <ndxf>
      <font>
        <sz val="20"/>
        <name val="Times New Roman"/>
        <scheme val="none"/>
      </font>
      <alignment vertical="top" readingOrder="0"/>
      <border outline="0">
        <left style="thin">
          <color indexed="64"/>
        </left>
      </border>
    </ndxf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2111.xml><?xml version="1.0" encoding="utf-8"?>
<revisions xmlns="http://schemas.openxmlformats.org/spreadsheetml/2006/main" xmlns:r="http://schemas.openxmlformats.org/officeDocument/2006/relationships">
  <rcc rId="93134" sId="3" numFmtId="4">
    <oc r="F107">
      <v>19868.074059999999</v>
    </oc>
    <nc r="F107">
      <v>22394.904119999999</v>
    </nc>
  </rcc>
  <rcc rId="93135" sId="3" odxf="1" dxf="1" numFmtId="4">
    <oc r="F105">
      <v>0</v>
    </oc>
    <nc r="F105">
      <v>144.76052000000001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93136" sId="3" numFmtId="4">
    <oc r="F109">
      <v>1660.1086499999999</v>
    </oc>
    <nc r="F109">
      <v>6674.9661699999997</v>
    </nc>
  </rcc>
  <rcc rId="93137" sId="3" odxf="1" dxf="1" numFmtId="4">
    <oc r="F110">
      <v>17018.2</v>
    </oc>
    <nc r="F110">
      <v>17018.172040000001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93138" sId="3" numFmtId="4">
    <oc r="F111">
      <v>19657.61349</v>
    </oc>
    <nc r="F111">
      <v>23284.78601</v>
    </nc>
  </rcc>
  <rcc rId="93139" sId="3" numFmtId="4">
    <oc r="F112">
      <v>11193.733550000001</v>
    </oc>
    <nc r="F112">
      <v>14502.99314</v>
    </nc>
  </rcc>
  <rcc rId="93140" sId="3" odxf="1" dxf="1" numFmtId="4">
    <oc r="F113">
      <v>5955.8</v>
    </oc>
    <nc r="F113">
      <v>8518.7194999999992</v>
    </nc>
    <odxf>
      <alignment horizontal="general" readingOrder="0"/>
      <border outline="0">
        <left style="medium">
          <color indexed="64"/>
        </left>
      </border>
    </odxf>
    <ndxf>
      <alignment horizontal="right" readingOrder="0"/>
      <border outline="0">
        <left style="thin">
          <color indexed="64"/>
        </left>
      </border>
    </ndxf>
  </rcc>
  <rcc rId="93141" sId="3" odxf="1" dxf="1" numFmtId="4">
    <oc r="F114">
      <v>1720.8</v>
    </oc>
    <nc r="F114">
      <v>1720.7527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93142" sId="3" odxf="1" dxf="1" numFmtId="4">
    <oc r="F115">
      <v>18326.3</v>
    </oc>
    <nc r="F115">
      <v>22412.89142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94557" sId="3" numFmtId="4">
    <oc r="C148">
      <v>62.05</v>
    </oc>
    <nc r="C148">
      <v>61.716999999999999</v>
    </nc>
  </rcc>
  <rcc rId="94558" sId="3" numFmtId="4">
    <oc r="C151">
      <v>20315.937000000002</v>
    </oc>
    <nc r="C151">
      <v>18342.345239999999</v>
    </nc>
  </rcc>
  <rcc rId="94559" sId="3" numFmtId="4">
    <oc r="D151">
      <v>15196.976280000001</v>
    </oc>
    <nc r="D151">
      <v>18335.851060000001</v>
    </nc>
  </rcc>
  <rcc rId="94560" sId="3" numFmtId="4">
    <oc r="D152">
      <v>1102.6745000000001</v>
    </oc>
    <nc r="D152">
      <v>1521.8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3.xml><?xml version="1.0" encoding="utf-8"?>
<revisions xmlns="http://schemas.openxmlformats.org/spreadsheetml/2006/main" xmlns:r="http://schemas.openxmlformats.org/officeDocument/2006/relationships">
  <rcc rId="94226" sId="3" numFmtId="4">
    <oc r="C117">
      <v>200</v>
    </oc>
    <nc r="C117">
      <v>0</v>
    </nc>
  </rcc>
  <rcc rId="94227" sId="3" numFmtId="4">
    <oc r="D118">
      <v>1047.4119599999999</v>
    </oc>
    <nc r="D118">
      <v>1246.55538</v>
    </nc>
  </rcc>
  <rcc rId="94228" sId="3" numFmtId="4">
    <oc r="C119">
      <v>607.17524000000003</v>
    </oc>
    <nc r="C119">
      <v>807.17524000000003</v>
    </nc>
  </rcc>
  <rcc rId="94229" sId="3" numFmtId="4">
    <oc r="D119">
      <v>518.298</v>
    </oc>
    <nc r="D119">
      <v>782.298</v>
    </nc>
  </rcc>
  <rcc rId="94230" sId="3" numFmtId="4">
    <oc r="D120">
      <v>110.498</v>
    </oc>
    <nc r="D120">
      <v>276.49200000000002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31.xml><?xml version="1.0" encoding="utf-8"?>
<revisions xmlns="http://schemas.openxmlformats.org/spreadsheetml/2006/main" xmlns:r="http://schemas.openxmlformats.org/officeDocument/2006/relationships">
  <rcc rId="93817" sId="3" numFmtId="4">
    <oc r="C29">
      <v>3360</v>
    </oc>
    <nc r="C29">
      <v>4360</v>
    </nc>
  </rcc>
  <rcc rId="93818" sId="3" numFmtId="4">
    <oc r="D29">
      <v>4277.4768100000001</v>
    </oc>
    <nc r="D29">
      <v>5022.1214099999997</v>
    </nc>
  </rcc>
  <rcc rId="93819" sId="3" numFmtId="4">
    <oc r="D30">
      <v>40.39</v>
    </oc>
    <nc r="D30">
      <v>45.23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3111.xml><?xml version="1.0" encoding="utf-8"?>
<revisions xmlns="http://schemas.openxmlformats.org/spreadsheetml/2006/main" xmlns:r="http://schemas.openxmlformats.org/officeDocument/2006/relationships">
  <rcc rId="93344" sId="3">
    <oc r="F81" t="inlineStr">
      <is>
        <t>исполнено на 01.01.2025г.</t>
      </is>
    </oc>
    <nc r="F81" t="inlineStr">
      <is>
        <t>исполнено на 01.01.2024г.</t>
      </is>
    </nc>
  </rcc>
  <rcc rId="93345" sId="3" numFmtId="4">
    <oc r="F134">
      <f>SUM(F135:F138)</f>
    </oc>
    <nc r="F134">
      <v>35574.699999999997</v>
    </nc>
  </rcc>
  <rcc rId="93346" sId="3">
    <oc r="F121">
      <f>SUM(F122+F125+F133)</f>
    </oc>
    <nc r="F121">
      <f>SUM(F122+F125+F133+F143)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94591" sId="3" numFmtId="4">
    <oc r="C155">
      <v>50103.110999999997</v>
    </oc>
    <nc r="C155">
      <v>41820.737000000001</v>
    </nc>
  </rcc>
  <rcc rId="94592" sId="3" numFmtId="4">
    <oc r="D155">
      <v>28245.94355</v>
    </oc>
    <nc r="D155">
      <v>41696.338519999998</v>
    </nc>
  </rcc>
  <rcc rId="94593" sId="3" numFmtId="4">
    <oc r="D156">
      <v>939.89576999999997</v>
    </oc>
    <nc r="D156">
      <v>1743.4</v>
    </nc>
  </rcc>
  <rcc rId="94594" sId="3" numFmtId="4">
    <oc r="C157">
      <v>34280</v>
    </oc>
    <nc r="C157">
      <v>32424</v>
    </nc>
  </rcc>
  <rcc rId="94595" sId="3" numFmtId="4">
    <oc r="D157">
      <v>29351.24</v>
    </oc>
    <nc r="D157">
      <v>32424</v>
    </nc>
  </rcc>
  <rcc rId="94596" sId="3" numFmtId="4">
    <oc r="C158">
      <v>15268.844440000001</v>
    </oc>
    <nc r="C158">
      <v>13856.81403</v>
    </nc>
  </rcc>
  <rcc rId="94597" sId="3" numFmtId="4">
    <oc r="D158">
      <v>13836.09887</v>
    </oc>
    <nc r="D158">
      <v>13842.63877</v>
    </nc>
  </rcc>
  <rcc rId="94598" sId="3" numFmtId="4">
    <oc r="C159">
      <v>2790.558</v>
    </oc>
    <nc r="C159">
      <v>2759.058</v>
    </nc>
  </rcc>
  <rcc rId="94599" sId="3" numFmtId="4">
    <oc r="D159">
      <v>2469.27961</v>
    </oc>
    <nc r="D159">
      <v>2755.5555599999998</v>
    </nc>
  </rcc>
  <rcc rId="94600" sId="3">
    <nc r="E159">
      <f>SUM(D159/C159*100)</f>
    </nc>
  </rcc>
  <rcc rId="94601" sId="3">
    <nc r="E160">
      <f>SUM(D160/C160*100)</f>
    </nc>
  </rcc>
  <rcc rId="94602" sId="3" numFmtId="4">
    <oc r="D161">
      <v>2894.5228099999999</v>
    </oc>
    <nc r="D161">
      <v>3109.3031700000001</v>
    </nc>
  </rcc>
  <rfmt sheetId="3" sqref="F161">
    <dxf>
      <alignment vertical="bottom" readingOrder="0"/>
    </dxf>
  </rfmt>
  <rcc rId="94603" sId="3" numFmtId="4">
    <oc r="D162">
      <v>199.58285000000001</v>
    </oc>
    <nc r="D162">
      <v>200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3.xml><?xml version="1.0" encoding="utf-8"?>
<revisions xmlns="http://schemas.openxmlformats.org/spreadsheetml/2006/main" xmlns:r="http://schemas.openxmlformats.org/officeDocument/2006/relationships">
  <rcc rId="93850" sId="3" numFmtId="4">
    <oc r="D41">
      <v>11835.11376</v>
    </oc>
    <nc r="D41">
      <v>13710.270829999999</v>
    </nc>
  </rcc>
  <rcc rId="93851" sId="3" numFmtId="4">
    <oc r="D42">
      <v>1810.2079799999999</v>
    </oc>
    <nc r="D42">
      <v>2392.35509</v>
    </nc>
  </rcc>
  <rcc rId="93852" sId="3" numFmtId="4">
    <oc r="D43">
      <v>368.73155000000003</v>
    </oc>
    <nc r="D43">
      <v>413.39157999999998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94759" sId="3" numFmtId="4">
    <oc r="C175">
      <v>18859.793000000001</v>
    </oc>
    <nc r="C175">
      <v>17664.893</v>
    </nc>
  </rcc>
  <rcc rId="94760" sId="3" numFmtId="4">
    <oc r="D175">
      <v>6140.9451300000001</v>
    </oc>
    <nc r="D175">
      <v>17664.893</v>
    </nc>
  </rcc>
  <rcc rId="94761" sId="3" numFmtId="4">
    <oc r="D177">
      <v>4579.9608099999996</v>
    </oc>
    <nc r="D177">
      <v>4987.75</v>
    </nc>
  </rcc>
  <rcc rId="94762" sId="3" numFmtId="4">
    <oc r="C178">
      <v>9530</v>
    </oc>
    <nc r="C178">
      <v>32208.524399999998</v>
    </nc>
  </rcc>
  <rcc rId="94763" sId="3" numFmtId="4">
    <oc r="D178">
      <v>9530</v>
    </oc>
    <nc r="D178">
      <v>32208.524399999998</v>
    </nc>
  </rcc>
  <rcc rId="94764" sId="3" numFmtId="4">
    <oc r="C184">
      <v>214.4</v>
    </oc>
    <nc r="C184">
      <v>334.4</v>
    </nc>
  </rcc>
  <rcc rId="94765" sId="3" numFmtId="4">
    <oc r="D184">
      <v>196.571</v>
    </oc>
    <nc r="D184">
      <v>300.49687</v>
    </nc>
  </rcc>
  <rcc rId="94766" sId="3" numFmtId="4">
    <oc r="D186">
      <v>12201</v>
    </oc>
    <nc r="D186">
      <v>12348</v>
    </nc>
  </rcc>
  <rcc rId="94767" sId="3" numFmtId="4">
    <oc r="C187">
      <v>33399.233999999997</v>
    </oc>
    <nc r="C187">
      <v>33303.606</v>
    </nc>
  </rcc>
  <rcc rId="94768" sId="3" numFmtId="4">
    <oc r="D187">
      <v>33399.233999999997</v>
    </oc>
    <nc r="D187">
      <v>33303.606</v>
    </nc>
  </rcc>
  <rcc rId="94769" sId="3" numFmtId="4">
    <oc r="D188">
      <v>14944.257900000001</v>
    </oc>
    <nc r="D188">
      <v>17083.0491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2.xml><?xml version="1.0" encoding="utf-8"?>
<revisions xmlns="http://schemas.openxmlformats.org/spreadsheetml/2006/main" xmlns:r="http://schemas.openxmlformats.org/officeDocument/2006/relationships">
  <rcc rId="92912" sId="3" numFmtId="4">
    <oc r="F14">
      <v>21213.260600000001</v>
    </oc>
    <nc r="F14">
      <v>21204.66892</v>
    </nc>
  </rcc>
  <rcc rId="92913" sId="3" numFmtId="4">
    <oc r="F15">
      <v>-49.465110000000003</v>
    </oc>
    <nc r="F15">
      <v>-46.617519999999999</v>
    </nc>
  </rcc>
  <rcc rId="92914" sId="3" numFmtId="4">
    <oc r="F16">
      <v>2410.24773</v>
    </oc>
    <nc r="F16">
      <v>2406.6720500000001</v>
    </nc>
  </rcc>
  <rcc rId="92915" sId="3" numFmtId="4">
    <oc r="F17">
      <v>773.25594000000001</v>
    </oc>
    <nc r="F17">
      <v>574.88044000000002</v>
    </nc>
  </rcc>
  <rcc rId="92916" sId="3" numFmtId="4">
    <oc r="F19">
      <v>6097.99532</v>
    </oc>
    <nc r="F19">
      <v>7453.4506199999996</v>
    </nc>
  </rcc>
  <rcc rId="92917" sId="3" numFmtId="4">
    <oc r="F21">
      <v>196.75245000000001</v>
    </oc>
    <nc r="F21">
      <v>166.60285999999999</v>
    </nc>
  </rcc>
  <rcc rId="92918" sId="3" numFmtId="4">
    <oc r="F22">
      <v>2224.4950699999999</v>
    </oc>
    <nc r="F22">
      <v>2863.7722100000001</v>
    </nc>
  </rcc>
  <rcc rId="92919" sId="3" numFmtId="4">
    <oc r="F24">
      <v>4300.57114</v>
    </oc>
    <nc r="F24">
      <v>3511.9912899999999</v>
    </nc>
  </rcc>
  <rcc rId="92920" sId="3" numFmtId="4">
    <oc r="F25">
      <v>9844.7119600000005</v>
    </oc>
    <nc r="F25">
      <v>11778.802369999999</v>
    </nc>
  </rcc>
  <rcc rId="92921" sId="3" numFmtId="4">
    <oc r="F29">
      <v>2119.49179</v>
    </oc>
    <nc r="F29">
      <v>2352.1460400000001</v>
    </nc>
  </rcc>
  <rcc rId="92922" sId="3" numFmtId="4">
    <oc r="F30">
      <v>47.15</v>
    </oc>
    <nc r="F30">
      <v>51.45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94423" sId="3" numFmtId="4">
    <oc r="C139">
      <v>45814.495999999999</v>
    </oc>
    <nc r="C139">
      <v>66707.931020000004</v>
    </nc>
  </rcc>
  <rcc rId="94424" sId="3" numFmtId="4">
    <oc r="D139">
      <v>22959.533940000001</v>
    </oc>
    <nc r="D139">
      <v>36183.936679999999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cc rId="94080" sId="3" numFmtId="4">
    <oc r="C173">
      <v>116124.70957000001</v>
    </oc>
    <nc r="C173">
      <v>131426.72044999999</v>
    </nc>
  </rcc>
  <rcc rId="94081" sId="3" numFmtId="4">
    <oc r="D173">
      <v>91572.681119999994</v>
    </oc>
    <nc r="D173">
      <v>109993.91817999999</v>
    </nc>
  </rcc>
  <rcc rId="94082" sId="3" numFmtId="4">
    <oc r="D178">
      <v>2424.6002899999999</v>
    </oc>
    <nc r="D178">
      <v>2527.6806700000002</v>
    </nc>
  </rcc>
  <rcc rId="94083" sId="3" numFmtId="4">
    <oc r="D180">
      <v>181.06843000000001</v>
    </oc>
    <nc r="D180">
      <v>197.26850999999999</v>
    </nc>
  </rcc>
  <rcc rId="94084" sId="3" numFmtId="4">
    <oc r="C181">
      <v>13095.94154</v>
    </oc>
    <nc r="C181">
      <v>14213.00971</v>
    </nc>
  </rcc>
  <rcc rId="94085" sId="3" numFmtId="4">
    <oc r="D181">
      <v>11658.248219999999</v>
    </oc>
    <nc r="D181">
      <v>13727.06076</v>
    </nc>
  </rcc>
  <rcc rId="94086" sId="3" numFmtId="4">
    <oc r="C184">
      <v>64080.875849999997</v>
    </oc>
    <nc r="C184">
      <v>63746.615850000002</v>
    </nc>
  </rcc>
  <rcc rId="94087" sId="3" numFmtId="4">
    <oc r="D184">
      <v>61054.306049999999</v>
    </oc>
    <nc r="D184">
      <v>63426.023099999999</v>
    </nc>
  </rcc>
  <rcc rId="94088" sId="3" numFmtId="4">
    <oc r="D188">
      <v>70.262829999999994</v>
    </oc>
    <nc r="D188">
      <v>91.6</v>
    </nc>
  </rcc>
  <rcc rId="94089" sId="3" numFmtId="4">
    <oc r="D190">
      <v>975.80111999999997</v>
    </oc>
    <nc r="D190">
      <v>1295.905</v>
    </nc>
  </rcc>
  <rcc rId="94090" sId="3" numFmtId="4">
    <oc r="C192">
      <v>11257.88191</v>
    </oc>
    <nc r="C192">
      <v>8461.4819100000004</v>
    </nc>
  </rcc>
  <rcc rId="94091" sId="3" numFmtId="4">
    <oc r="C194">
      <v>8529.7334699999992</v>
    </oc>
    <nc r="C194">
      <v>8613.9104700000007</v>
    </nc>
  </rcc>
  <rcc rId="94092" sId="3" numFmtId="4">
    <oc r="D194">
      <v>8129.7332699999997</v>
    </oc>
    <nc r="D194">
      <v>8613.9104700000007</v>
    </nc>
  </rcc>
  <rfmt sheetId="3" sqref="C199:D199">
    <dxf>
      <numFmt numFmtId="4" formatCode="#,##0.00"/>
    </dxf>
  </rfmt>
  <rfmt sheetId="3" sqref="C199:D199">
    <dxf>
      <numFmt numFmtId="187" formatCode="#,##0.000"/>
    </dxf>
  </rfmt>
  <rfmt sheetId="3" sqref="C199:D199">
    <dxf>
      <numFmt numFmtId="186" formatCode="#,##0.0000"/>
    </dxf>
  </rfmt>
  <rfmt sheetId="3" sqref="C199:D199">
    <dxf>
      <numFmt numFmtId="172" formatCode="#,##0.00000"/>
    </dxf>
  </rfmt>
  <rfmt sheetId="3" sqref="D82">
    <dxf>
      <numFmt numFmtId="4" formatCode="#,##0.00"/>
    </dxf>
  </rfmt>
  <rfmt sheetId="3" sqref="D82">
    <dxf>
      <numFmt numFmtId="187" formatCode="#,##0.000"/>
    </dxf>
  </rfmt>
  <rfmt sheetId="3" sqref="D82">
    <dxf>
      <numFmt numFmtId="186" formatCode="#,##0.0000"/>
    </dxf>
  </rfmt>
  <rfmt sheetId="3" sqref="D82">
    <dxf>
      <numFmt numFmtId="172" formatCode="#,##0.00000"/>
    </dxf>
  </rfmt>
  <rfmt sheetId="3" sqref="D84">
    <dxf>
      <numFmt numFmtId="4" formatCode="#,##0.00"/>
    </dxf>
  </rfmt>
  <rfmt sheetId="3" sqref="D84">
    <dxf>
      <numFmt numFmtId="187" formatCode="#,##0.000"/>
    </dxf>
  </rfmt>
  <rfmt sheetId="3" sqref="D84">
    <dxf>
      <numFmt numFmtId="186" formatCode="#,##0.0000"/>
    </dxf>
  </rfmt>
  <rfmt sheetId="3" sqref="D84">
    <dxf>
      <numFmt numFmtId="172" formatCode="#,##0.00000"/>
    </dxf>
  </rfmt>
  <rfmt sheetId="3" sqref="D84">
    <dxf>
      <numFmt numFmtId="186" formatCode="#,##0.0000"/>
    </dxf>
  </rfmt>
  <rfmt sheetId="3" sqref="D84">
    <dxf>
      <numFmt numFmtId="187" formatCode="#,##0.000"/>
    </dxf>
  </rfmt>
  <rfmt sheetId="3" sqref="D84">
    <dxf>
      <numFmt numFmtId="4" formatCode="#,##0.00"/>
    </dxf>
  </rfmt>
  <rfmt sheetId="3" sqref="D84">
    <dxf>
      <numFmt numFmtId="167" formatCode="#,##0.0"/>
    </dxf>
  </rfmt>
  <rfmt sheetId="3" sqref="D86">
    <dxf>
      <numFmt numFmtId="4" formatCode="#,##0.00"/>
    </dxf>
  </rfmt>
  <rfmt sheetId="3" sqref="D86">
    <dxf>
      <numFmt numFmtId="187" formatCode="#,##0.000"/>
    </dxf>
  </rfmt>
  <rfmt sheetId="3" sqref="D86">
    <dxf>
      <numFmt numFmtId="186" formatCode="#,##0.0000"/>
    </dxf>
  </rfmt>
  <rfmt sheetId="3" sqref="D86">
    <dxf>
      <numFmt numFmtId="172" formatCode="#,##0.00000"/>
    </dxf>
  </rfmt>
  <rfmt sheetId="3" sqref="D86">
    <dxf>
      <numFmt numFmtId="186" formatCode="#,##0.0000"/>
    </dxf>
  </rfmt>
  <rfmt sheetId="3" sqref="D86">
    <dxf>
      <numFmt numFmtId="187" formatCode="#,##0.000"/>
    </dxf>
  </rfmt>
  <rfmt sheetId="3" sqref="D86">
    <dxf>
      <numFmt numFmtId="4" formatCode="#,##0.00"/>
    </dxf>
  </rfmt>
  <rfmt sheetId="3" sqref="D86">
    <dxf>
      <numFmt numFmtId="167" formatCode="#,##0.0"/>
    </dxf>
  </rfmt>
  <rcc rId="94093" sId="3" numFmtId="4">
    <oc r="D83">
      <v>49.999000000000002</v>
    </oc>
    <nc r="D83">
      <v>49.999899999999997</v>
    </nc>
  </rcc>
  <rfmt sheetId="3" sqref="D82">
    <dxf>
      <numFmt numFmtId="186" formatCode="#,##0.0000"/>
    </dxf>
  </rfmt>
  <rfmt sheetId="3" sqref="D82">
    <dxf>
      <numFmt numFmtId="187" formatCode="#,##0.000"/>
    </dxf>
  </rfmt>
  <rfmt sheetId="3" sqref="D82">
    <dxf>
      <numFmt numFmtId="4" formatCode="#,##0.00"/>
    </dxf>
  </rfmt>
  <rfmt sheetId="3" sqref="D82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94800" sId="3" numFmtId="4">
    <oc r="D192">
      <v>975.80111999999997</v>
    </oc>
    <nc r="D192">
      <v>1295.905</v>
    </nc>
  </rcc>
  <rcc rId="94801" sId="3" numFmtId="4">
    <oc r="C194">
      <v>8236.7000000000007</v>
    </oc>
    <nc r="C194">
      <v>5440.3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c rId="92953" sId="3" numFmtId="4">
    <oc r="F41">
      <v>8660.1952500000007</v>
    </oc>
    <nc r="F41">
      <v>9834.7524200000007</v>
    </nc>
  </rcc>
  <rcc rId="92954" sId="3" numFmtId="4">
    <oc r="F42">
      <v>1431.59773</v>
    </oc>
    <nc r="F42">
      <v>2032.9722999999999</v>
    </nc>
  </rcc>
  <rcc rId="92955" sId="3" numFmtId="4">
    <oc r="F43">
      <v>377.00675999999999</v>
    </oc>
    <nc r="F43">
      <v>421.69382000000002</v>
    </nc>
  </rcc>
  <rcc rId="92956" sId="3" numFmtId="4">
    <oc r="F47">
      <v>555.17666999999994</v>
    </oc>
    <nc r="F47">
      <v>682.72699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c rId="93504" sId="3" numFmtId="4">
    <oc r="F157">
      <v>15928.3</v>
    </oc>
    <nc r="F157">
      <v>17708.2</v>
    </nc>
  </rcc>
  <rcc rId="93505" sId="3" numFmtId="4">
    <oc r="F158">
      <v>9962.9113899999993</v>
    </oc>
    <nc r="F158">
      <v>11911.443300000001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1.xml><?xml version="1.0" encoding="utf-8"?>
<revisions xmlns="http://schemas.openxmlformats.org/spreadsheetml/2006/main" xmlns:r="http://schemas.openxmlformats.org/officeDocument/2006/relationships">
  <rcc rId="93173" sId="3" odxf="1" dxf="1" numFmtId="4">
    <oc r="F118">
      <v>496.7</v>
    </oc>
    <nc r="F118">
      <v>736.5299</v>
    </nc>
    <odxf>
      <alignment horizontal="general" readingOrder="0"/>
      <border outline="0">
        <left style="medium">
          <color indexed="64"/>
        </left>
      </border>
    </odxf>
    <ndxf>
      <alignment horizontal="right" readingOrder="0"/>
      <border outline="0">
        <left style="thin">
          <color indexed="64"/>
        </left>
      </border>
    </ndxf>
  </rcc>
  <rcc rId="93174" sId="3" odxf="1" dxf="1" numFmtId="4">
    <nc r="F117">
      <v>164.77</v>
    </nc>
    <odxf>
      <font>
        <i val="0"/>
        <sz val="20"/>
        <name val="Times New Roman"/>
        <scheme val="none"/>
      </font>
      <alignment vertical="center" readingOrder="0"/>
      <border outline="0">
        <left style="medium">
          <color indexed="64"/>
        </left>
      </border>
    </odxf>
    <ndxf>
      <font>
        <i/>
        <sz val="20"/>
        <name val="Times New Roman"/>
        <scheme val="none"/>
      </font>
      <alignment vertical="top" readingOrder="0"/>
      <border outline="0">
        <left style="thin">
          <color indexed="64"/>
        </left>
      </border>
    </ndxf>
  </rcc>
  <rcc rId="93175" sId="3" numFmtId="4">
    <oc r="F119">
      <v>564.005</v>
    </oc>
    <nc r="F119">
      <v>696.96624999999995</v>
    </nc>
  </rcc>
  <rcc rId="93176" sId="3" numFmtId="4">
    <oc r="F120">
      <v>385.8569</v>
    </oc>
    <nc r="F120">
      <v>402.75689999999997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11.xml><?xml version="1.0" encoding="utf-8"?>
<revisions xmlns="http://schemas.openxmlformats.org/spreadsheetml/2006/main" xmlns:r="http://schemas.openxmlformats.org/officeDocument/2006/relationships">
  <rcc rId="92987" sId="3" numFmtId="4">
    <oc r="F49">
      <v>464.29800999999998</v>
    </oc>
    <nc r="F49">
      <v>468.51413000000002</v>
    </nc>
  </rcc>
  <rcc rId="92988" sId="3" numFmtId="4">
    <oc r="F51">
      <v>876.53959999999995</v>
    </oc>
    <nc r="F51">
      <v>1233.36437</v>
    </nc>
  </rcc>
  <rcc rId="92989" sId="3" numFmtId="4">
    <oc r="F54">
      <v>0</v>
    </oc>
    <nc r="F54">
      <v>396</v>
    </nc>
  </rcc>
  <rcc rId="92990" sId="3" numFmtId="4">
    <oc r="F55">
      <v>14997.665429999999</v>
    </oc>
    <nc r="F55">
      <v>15205.3964</v>
    </nc>
  </rcc>
  <rcc rId="92991" sId="3" numFmtId="4">
    <oc r="F56">
      <v>315.98252000000002</v>
    </oc>
    <nc r="F56">
      <v>323.68556000000001</v>
    </nc>
  </rcc>
  <rcc rId="92992" sId="3" numFmtId="4">
    <oc r="F60">
      <v>892.65981999999997</v>
    </oc>
    <nc r="F60">
      <v>1033.34167</v>
    </nc>
  </rcc>
  <rcc rId="92993" sId="3" numFmtId="4">
    <oc r="F61">
      <v>463.78032000000002</v>
    </oc>
    <nc r="F61">
      <v>1465.2403899999999</v>
    </nc>
  </rcc>
  <rcc rId="92994" sId="3" numFmtId="4">
    <oc r="F63">
      <v>-0.29959000000000002</v>
    </oc>
    <nc r="F63">
      <v>-0.20458999999999999</v>
    </nc>
  </rcc>
  <rcc rId="92995" sId="3" numFmtId="4">
    <oc r="F66">
      <v>4.4566100000000004</v>
    </oc>
    <nc r="F66">
      <v>0</v>
    </nc>
  </rcc>
  <rcc rId="92996" sId="3" numFmtId="4">
    <oc r="F67">
      <v>10941.81825</v>
    </oc>
    <nc r="F67">
      <v>11222.86212</v>
    </nc>
  </rcc>
  <rcc rId="92997" sId="3" numFmtId="4">
    <oc r="F70">
      <v>107930.6</v>
    </oc>
    <nc r="F70">
      <v>116188.5</v>
    </nc>
  </rcc>
  <rcc rId="92998" sId="3" numFmtId="4">
    <oc r="F72">
      <v>176939.62260999999</v>
    </oc>
    <nc r="F72">
      <v>306333.14687</v>
    </nc>
  </rcc>
  <rcc rId="92999" sId="3" numFmtId="4">
    <oc r="F73">
      <v>420204.39227999997</v>
    </oc>
    <nc r="F73">
      <v>487967.93974</v>
    </nc>
  </rcc>
  <rcc rId="93000" sId="3" numFmtId="4">
    <oc r="F74">
      <v>27830.188870000002</v>
    </oc>
    <nc r="F74">
      <v>31257.149399999998</v>
    </nc>
  </rcc>
  <rcc rId="93001" sId="3" numFmtId="4">
    <oc r="F77">
      <v>-7539.0103600000002</v>
    </oc>
    <nc r="F77">
      <v>-25018.397629999999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41.xml><?xml version="1.0" encoding="utf-8"?>
<revisions xmlns="http://schemas.openxmlformats.org/spreadsheetml/2006/main" xmlns:r="http://schemas.openxmlformats.org/officeDocument/2006/relationships">
  <rcc rId="93536" sId="3" numFmtId="4">
    <oc r="F163">
      <v>26821.802</v>
    </oc>
    <nc r="F163">
      <v>29614.545760000001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5.xml><?xml version="1.0" encoding="utf-8"?>
<revisions xmlns="http://schemas.openxmlformats.org/spreadsheetml/2006/main" xmlns:r="http://schemas.openxmlformats.org/officeDocument/2006/relationships">
  <rcc rId="94291" sId="3" numFmtId="4">
    <oc r="C123">
      <v>1000</v>
    </oc>
    <nc r="C123">
      <v>800</v>
    </nc>
  </rcc>
  <rcc rId="94292" sId="3" numFmtId="4">
    <oc r="D123">
      <v>592.81411000000003</v>
    </oc>
    <nc r="D123">
      <v>730.77239999999995</v>
    </nc>
  </rcc>
  <rcc rId="94293" sId="3" numFmtId="4">
    <oc r="C127">
      <v>8519.0789999999997</v>
    </oc>
    <nc r="C127">
      <v>6000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51.xml><?xml version="1.0" encoding="utf-8"?>
<revisions xmlns="http://schemas.openxmlformats.org/spreadsheetml/2006/main" xmlns:r="http://schemas.openxmlformats.org/officeDocument/2006/relationships">
  <rcc rId="93883" sId="3" numFmtId="4">
    <oc r="C47">
      <v>800</v>
    </oc>
    <nc r="C47">
      <v>1000</v>
    </nc>
  </rcc>
  <rcc rId="93884" sId="3" numFmtId="4">
    <oc r="D47">
      <v>838.55341999999996</v>
    </oc>
    <nc r="D47">
      <v>1023.08404</v>
    </nc>
  </rcc>
  <rcc rId="93885" sId="3" numFmtId="4">
    <oc r="D49">
      <v>1288.11067</v>
    </oc>
    <nc r="D49">
      <v>1295.29475</v>
    </nc>
  </rcc>
  <rcc rId="93886" sId="3" numFmtId="4">
    <oc r="C51">
      <v>500</v>
    </oc>
    <nc r="C51">
      <v>1150</v>
    </nc>
  </rcc>
  <rcc rId="93887" sId="3" numFmtId="4">
    <oc r="D51">
      <v>852.69958999999994</v>
    </oc>
    <nc r="D51">
      <v>1245.1849099999999</v>
    </nc>
  </rcc>
  <rcc rId="93888" sId="3" numFmtId="4">
    <oc r="D52">
      <v>4489.7479999999996</v>
    </oc>
    <nc r="D52">
      <v>4526.8999999999996</v>
    </nc>
  </rcc>
  <rcc rId="93889" sId="3" numFmtId="4">
    <oc r="C54">
      <v>2000</v>
    </oc>
    <nc r="C54">
      <v>1700</v>
    </nc>
  </rcc>
  <rcc rId="93890" sId="3" numFmtId="4">
    <oc r="C55">
      <v>9700</v>
    </oc>
    <nc r="C55">
      <v>12150</v>
    </nc>
  </rcc>
  <rcc rId="93891" sId="3" numFmtId="4">
    <oc r="D55">
      <v>8373.13465</v>
    </oc>
    <nc r="D55">
      <v>12222.7155</v>
    </nc>
  </rcc>
  <rcc rId="93892" sId="3" numFmtId="4">
    <oc r="C56">
      <v>300</v>
    </oc>
    <nc r="C56">
      <v>150</v>
    </nc>
  </rcc>
  <rcc rId="93893" sId="3" numFmtId="4">
    <oc r="D56">
      <v>134.48408000000001</v>
    </oc>
    <nc r="D56">
      <v>134.77811</v>
    </nc>
  </rcc>
  <rcc rId="93894" sId="3" numFmtId="4">
    <oc r="C60">
      <v>1288</v>
    </oc>
    <nc r="C60">
      <v>1284</v>
    </nc>
  </rcc>
  <rcc rId="93895" sId="3" numFmtId="4">
    <oc r="D60">
      <v>1087.2132999999999</v>
    </oc>
    <nc r="D60">
      <v>1384.08194</v>
    </nc>
  </rcc>
  <rcc rId="93896" sId="3" numFmtId="4">
    <oc r="C61">
      <v>3752</v>
    </oc>
    <nc r="C61">
      <v>7452</v>
    </nc>
  </rcc>
  <rcc rId="93897" sId="3" numFmtId="4">
    <oc r="D61">
      <v>4155.4630999999999</v>
    </oc>
    <nc r="D61">
      <v>7625.6538300000002</v>
    </nc>
  </rcc>
  <rcc rId="93898" sId="3" numFmtId="4">
    <oc r="C64">
      <v>764</v>
    </oc>
    <nc r="C64">
      <v>768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5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6.xml><?xml version="1.0" encoding="utf-8"?>
<revisions xmlns="http://schemas.openxmlformats.org/spreadsheetml/2006/main" xmlns:r="http://schemas.openxmlformats.org/officeDocument/2006/relationships">
  <rrc rId="94455" sId="3" ref="A174:XFD174" action="insertRow">
    <undo index="0" exp="area" ref3D="1" dr="$A$198:$XFD$198" dn="Z_61528DAC_5C4C_48F4_ADE2_8A724B05A086_.wvu.Rows" sId="3"/>
    <undo index="26" exp="area" ref3D="1" dr="$A$197:$XFD$198" dn="Z_A54C432C_6C68_4B53_A75C_446EB3A61B2B_.wvu.Rows" sId="3"/>
    <undo index="38" exp="area" ref3D="1" dr="$A$197:$XFD$198" dn="Z_42584DC0_1D41_4C93_9B38_C388E7B8DAC4_.wvu.Rows" sId="3"/>
  </rrc>
  <rcc rId="94456" sId="3" odxf="1" dxf="1">
    <nc r="A174" t="inlineStr">
      <is>
        <t>A62</t>
      </is>
    </nc>
    <odxf>
      <font>
        <i val="0"/>
        <sz val="18"/>
        <name val="Times New Roman"/>
        <scheme val="none"/>
      </font>
    </odxf>
    <ndxf>
      <font>
        <i/>
        <sz val="16"/>
        <name val="Times New Roman"/>
        <scheme val="none"/>
      </font>
    </ndxf>
  </rcc>
  <rcc rId="94457" sId="3" odxf="1" dxf="1">
    <nc r="B174" t="inlineStr">
      <is>
        <t>Релизация инициативных проектов</t>
      </is>
    </nc>
    <odxf>
      <font>
        <i val="0"/>
        <sz val="18"/>
        <name val="Times New Roman"/>
        <scheme val="none"/>
      </font>
    </odxf>
    <ndxf>
      <font>
        <i/>
        <sz val="14"/>
        <name val="Times New Roman"/>
        <scheme val="none"/>
      </font>
    </ndxf>
  </rcc>
  <rfmt sheetId="3" sqref="B174" start="0" length="2147483647">
    <dxf>
      <font>
        <sz val="16"/>
      </font>
    </dxf>
  </rfmt>
  <rcc rId="94458" sId="3" numFmtId="4">
    <nc r="C174">
      <v>19767.556680000002</v>
    </nc>
  </rcc>
  <rcc rId="94459" sId="3" numFmtId="4">
    <nc r="D174">
      <v>0</v>
    </nc>
  </rcc>
  <rcc rId="94460" sId="3">
    <nc r="E174">
      <f>SUM(D174/C174*100)</f>
    </nc>
  </rcc>
  <rcc rId="94461" sId="3" numFmtId="4">
    <nc r="F174">
      <v>6131.1</v>
    </nc>
  </rcc>
  <rcc rId="94462" sId="3">
    <nc r="G174">
      <f>SUM(D174/F174*100)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6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611.xml><?xml version="1.0" encoding="utf-8"?>
<revisions xmlns="http://schemas.openxmlformats.org/spreadsheetml/2006/main" xmlns:r="http://schemas.openxmlformats.org/officeDocument/2006/relationships">
  <rcc rId="93929" sId="3">
    <oc r="A66">
      <v>1170100000</v>
    </oc>
    <nc r="A66">
      <v>1170500000</v>
    </nc>
  </rcc>
  <rcc rId="93930" sId="3">
    <oc r="B66" t="inlineStr">
      <is>
        <t>Невыясненные поступления</t>
      </is>
    </oc>
    <nc r="B66" t="inlineStr">
      <is>
        <t>Прочие неналоговые доходы бюджетов муниципальных округов</t>
      </is>
    </nc>
  </rcc>
  <rcc rId="93931" sId="3" numFmtId="4">
    <oc r="C66">
      <v>0</v>
    </oc>
    <nc r="C66">
      <v>1190</v>
    </nc>
  </rcc>
  <rcc rId="93932" sId="3" numFmtId="4">
    <oc r="D66">
      <v>3.15</v>
    </oc>
    <nc r="D66">
      <v>1190</v>
    </nc>
  </rcc>
  <rcc rId="93933" sId="3">
    <nc r="E66">
      <f>SUM(D66/C66*100)</f>
    </nc>
  </rcc>
  <rcc rId="93934" sId="3" numFmtId="4">
    <oc r="C67">
      <v>10626.248079999999</v>
    </oc>
    <nc r="C67">
      <v>7426.2480800000003</v>
    </nc>
  </rcc>
  <rcc rId="93935" sId="3" numFmtId="4">
    <oc r="D67">
      <v>7048.0698000000002</v>
    </oc>
    <nc r="D67">
      <v>7039.7516100000003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71.xml><?xml version="1.0" encoding="utf-8"?>
<revisions xmlns="http://schemas.openxmlformats.org/spreadsheetml/2006/main" xmlns:r="http://schemas.openxmlformats.org/officeDocument/2006/relationships">
  <rcc rId="94664" sId="3" numFmtId="4">
    <oc r="C164">
      <v>10970.642</v>
    </oc>
    <nc r="C164">
      <v>10549.642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711.xml><?xml version="1.0" encoding="utf-8"?>
<revisions xmlns="http://schemas.openxmlformats.org/spreadsheetml/2006/main" xmlns:r="http://schemas.openxmlformats.org/officeDocument/2006/relationships">
  <rcc rId="94493" sId="3" numFmtId="4">
    <oc r="D135">
      <v>5257.6509699999997</v>
    </oc>
    <nc r="D135">
      <v>7209.4911099999999</v>
    </nc>
  </rcc>
  <rcc rId="94494" sId="3" numFmtId="4">
    <oc r="D137">
      <v>11577.18563</v>
    </oc>
    <nc r="D137">
      <v>16620.37398</v>
    </nc>
  </rcc>
  <rcc rId="94495" sId="3" numFmtId="4">
    <oc r="D141">
      <v>815.90189999999996</v>
    </oc>
    <nc r="D141">
      <v>2096.8126000000002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7111.xml><?xml version="1.0" encoding="utf-8"?>
<revisions xmlns="http://schemas.openxmlformats.org/spreadsheetml/2006/main" xmlns:r="http://schemas.openxmlformats.org/officeDocument/2006/relationships">
  <rcc rId="94324" sId="3" numFmtId="4">
    <oc r="C128">
      <v>7000</v>
    </oc>
    <nc r="C128">
      <v>350</v>
    </nc>
  </rcc>
  <rcc rId="94325" sId="3">
    <oc r="B129" t="inlineStr">
      <is>
        <t>Капитальный ремонт источников водоснабжения (водонапорных башен и водозаборных скважин) в населенных пунктах</t>
      </is>
    </oc>
    <nc r="B129" t="inlineStr">
      <is>
        <t>Создание и (или) модернизация источников водоснабжения (водонапорных башен и водозаборных скважин) в населенных пунктах</t>
      </is>
    </nc>
  </rcc>
  <rcc rId="94326" sId="3" numFmtId="4">
    <oc r="C129">
      <v>38.009</v>
    </oc>
    <nc r="C129">
      <v>542.98599999999999</v>
    </nc>
  </rcc>
  <rcc rId="94327" sId="3" numFmtId="4">
    <oc r="D129">
      <v>0</v>
    </oc>
    <nc r="D129">
      <v>330.87979999999999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8.xml><?xml version="1.0" encoding="utf-8"?>
<revisions xmlns="http://schemas.openxmlformats.org/spreadsheetml/2006/main" xmlns:r="http://schemas.openxmlformats.org/officeDocument/2006/relationships">
  <rcc rId="94695" sId="3" numFmtId="4">
    <oc r="C165">
      <v>13787.619000000001</v>
    </oc>
    <nc r="C165">
      <v>14798.380800000001</v>
    </nc>
  </rcc>
  <rcc rId="94696" sId="3" numFmtId="4">
    <oc r="D165">
      <v>13787.61961</v>
    </oc>
    <nc r="D165">
      <v>14798.38061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81.xml><?xml version="1.0" encoding="utf-8"?>
<revisions xmlns="http://schemas.openxmlformats.org/spreadsheetml/2006/main" xmlns:r="http://schemas.openxmlformats.org/officeDocument/2006/relationships">
  <rcc rId="94358" sId="3" numFmtId="4">
    <oc r="C130">
      <v>26650.431</v>
    </oc>
    <nc r="C130">
      <v>28913.47638</v>
    </nc>
  </rcc>
  <rcc rId="94359" sId="3" numFmtId="4">
    <oc r="D130">
      <v>17080.51268</v>
    </oc>
    <nc r="D130">
      <v>24602.262309999998</v>
    </nc>
  </rcc>
  <rcc rId="94360" sId="3" numFmtId="4">
    <oc r="C131">
      <v>2317.1999999999998</v>
    </oc>
    <nc r="C131">
      <v>1535.4811400000001</v>
    </nc>
  </rcc>
  <rcc rId="94361" sId="3" numFmtId="4">
    <oc r="C132">
      <v>45405.978419999999</v>
    </oc>
    <nc r="C132">
      <v>100664.83532</v>
    </nc>
  </rcc>
  <rcc rId="94362" sId="3" numFmtId="4">
    <oc r="D132">
      <v>17435.55126</v>
    </oc>
    <nc r="D132">
      <v>39322.175999999999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9.xml><?xml version="1.0" encoding="utf-8"?>
<revisions xmlns="http://schemas.openxmlformats.org/spreadsheetml/2006/main" xmlns:r="http://schemas.openxmlformats.org/officeDocument/2006/relationships">
  <rcc rId="94727" sId="3" numFmtId="4">
    <oc r="C170">
      <v>2820</v>
    </oc>
    <nc r="C170">
      <v>2789.0880000000002</v>
    </nc>
  </rcc>
  <rcc rId="94728" sId="3" numFmtId="4">
    <oc r="D170">
      <v>2773.3380000000002</v>
    </oc>
    <nc r="D170">
      <v>2789.0880000000002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fmt sheetId="3" sqref="C199:D199">
    <dxf>
      <numFmt numFmtId="186" formatCode="#,##0.0000"/>
    </dxf>
  </rfmt>
  <rfmt sheetId="3" sqref="C199:D199">
    <dxf>
      <numFmt numFmtId="187" formatCode="#,##0.000"/>
    </dxf>
  </rfmt>
  <rfmt sheetId="3" sqref="C199:D199">
    <dxf>
      <numFmt numFmtId="4" formatCode="#,##0.00"/>
    </dxf>
  </rfmt>
  <rfmt sheetId="3" sqref="C199:D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4.xml><?xml version="1.0" encoding="utf-8"?>
<revisions xmlns="http://schemas.openxmlformats.org/spreadsheetml/2006/main" xmlns:r="http://schemas.openxmlformats.org/officeDocument/2006/relationships">
  <rcc rId="93567" sId="3" numFmtId="4">
    <oc r="F164">
      <v>6650.558</v>
    </oc>
    <nc r="F164">
      <v>7877.4</v>
    </nc>
  </rcc>
  <rcc rId="93568" sId="3" numFmtId="4">
    <oc r="F166">
      <v>7504.3509999999997</v>
    </oc>
    <nc r="F166">
      <v>8589.9</v>
    </nc>
  </rcc>
  <rcc rId="93569" sId="3" numFmtId="4">
    <oc r="F168">
      <v>260.01420000000002</v>
    </oc>
    <nc r="F168">
      <v>421</v>
    </nc>
  </rcc>
  <rcc rId="93570" sId="3" numFmtId="4">
    <oc r="F169">
      <v>7333.7572499999997</v>
    </oc>
    <nc r="F169">
      <v>8373.1581000000006</v>
    </nc>
  </rcc>
  <rcc rId="93571" sId="3" odxf="1" dxf="1" numFmtId="4">
    <oc r="F170">
      <v>2606.154</v>
    </oc>
    <nc r="F170">
      <v>2590.078</v>
    </nc>
    <odxf>
      <font>
        <i/>
        <sz val="20"/>
        <name val="Times New Roman"/>
        <scheme val="none"/>
      </font>
      <alignment vertical="center" readingOrder="0"/>
      <border outline="0">
        <left style="medium">
          <color indexed="64"/>
        </left>
      </border>
    </odxf>
    <ndxf>
      <font>
        <i val="0"/>
        <sz val="20"/>
        <name val="Times New Roman"/>
        <scheme val="none"/>
      </font>
      <alignment vertical="top" readingOrder="0"/>
      <border outline="0">
        <left style="thin">
          <color indexed="64"/>
        </left>
      </border>
    </ndxf>
  </rcc>
  <rcc rId="93572" sId="3" numFmtId="4">
    <oc r="F171">
      <v>574.44479999999999</v>
    </oc>
    <nc r="F171">
      <v>895.28009999999995</v>
    </nc>
  </rcc>
  <rcc rId="93573" sId="3" numFmtId="4">
    <oc r="F173">
      <v>58308.260679999999</v>
    </oc>
    <nc r="F173">
      <v>78706.217839999998</v>
    </nc>
  </rcc>
  <rcc rId="93574" sId="3" numFmtId="4">
    <oc r="F174">
      <v>4010.3269399999999</v>
    </oc>
    <nc r="F174">
      <v>6259.6</v>
    </nc>
  </rcc>
  <rcc rId="93575" sId="3" numFmtId="4">
    <oc r="F176">
      <v>1413.5338099999999</v>
    </oc>
    <nc r="F176">
      <v>1552.9</v>
    </nc>
  </rcc>
  <rcc rId="93576" sId="3" numFmtId="4">
    <oc r="F178">
      <v>1460.5779700000001</v>
    </oc>
    <nc r="F178">
      <v>1952.0867699999999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c rId="93413" sId="3" numFmtId="4">
    <oc r="F151">
      <v>12073.300999999999</v>
    </oc>
    <nc r="F151">
      <v>15900.89927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93238" sId="3" numFmtId="4">
    <oc r="F106">
      <v>95400.547080000004</v>
    </oc>
    <nc r="F106">
      <v>116528.1851</v>
    </nc>
  </rcc>
  <rcc rId="93239" sId="3" numFmtId="4">
    <oc r="F101">
      <v>1034.8943899999999</v>
    </oc>
    <nc r="F101">
      <v>1221.15689</v>
    </nc>
  </rcc>
  <rcc rId="93240" sId="3" numFmtId="4">
    <oc r="F122">
      <v>598.68454999999994</v>
    </oc>
    <nc r="F122">
      <v>6916.2757700000002</v>
    </nc>
  </rcc>
  <rcc rId="93241" sId="3" odxf="1" dxf="1" numFmtId="4">
    <oc r="F123">
      <v>598.68454999999994</v>
    </oc>
    <nc r="F123">
      <v>733.48782000000006</v>
    </nc>
    <odxf>
      <alignment vertical="center" readingOrder="0"/>
    </odxf>
    <ndxf>
      <alignment vertical="top" readingOrder="0"/>
    </ndxf>
  </rcc>
  <rcc rId="93242" sId="3" odxf="1" dxf="1" numFmtId="4">
    <oc r="F124">
      <v>0</v>
    </oc>
    <nc r="F124">
      <v>864.42692999999997</v>
    </nc>
    <odxf>
      <font>
        <i val="0"/>
        <sz val="20"/>
        <name val="Times New Roman"/>
        <scheme val="none"/>
      </font>
      <alignment vertical="center" readingOrder="0"/>
      <border outline="0">
        <left/>
      </border>
    </odxf>
    <ndxf>
      <font>
        <i/>
        <sz val="20"/>
        <name val="Times New Roman"/>
        <scheme val="none"/>
      </font>
      <alignment vertical="top" readingOrder="0"/>
      <border outline="0">
        <left style="thin">
          <color indexed="64"/>
        </left>
      </border>
    </ndxf>
  </rcc>
  <rcc rId="93243" sId="3" numFmtId="4">
    <oc r="F125">
      <v>88235.116160000005</v>
    </oc>
    <nc r="F125">
      <v>133822.12010999999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11.xml><?xml version="1.0" encoding="utf-8"?>
<revisions xmlns="http://schemas.openxmlformats.org/spreadsheetml/2006/main" xmlns:r="http://schemas.openxmlformats.org/officeDocument/2006/relationships">
  <rcc rId="93068" sId="3" numFmtId="4">
    <oc r="F94">
      <v>1236.43236</v>
    </oc>
    <nc r="F94">
      <v>1410.2</v>
    </nc>
  </rcc>
  <rcc rId="93069" sId="3" numFmtId="4">
    <oc r="F95">
      <v>3083.15852</v>
    </oc>
    <nc r="F95">
      <v>3688.5411899999999</v>
    </nc>
  </rcc>
  <rcc rId="93070" sId="3" numFmtId="4">
    <oc r="F96">
      <v>146.52808999999999</v>
    </oc>
    <nc r="F96">
      <v>990.10709999999995</v>
    </nc>
  </rcc>
  <rcc rId="93071" sId="3" numFmtId="4">
    <oc r="F97">
      <v>1139.7</v>
    </oc>
    <nc r="F97">
      <v>1277.5999999999999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94526" sId="3" numFmtId="4">
    <oc r="D147">
      <v>1375.88498</v>
    </oc>
    <nc r="D147">
      <v>1551.74422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район!$A$1:$G$203</formula>
    <oldFormula>район!$A$1:$G$203</oldFormula>
  </rdn>
  <rdn rId="0" localSheetId="3" customView="1" name="Z_61528DAC_5C4C_48F4_ADE2_8A724B05A086_.wvu.Rows" hidden="1" oldHidden="1">
    <formula>район!$199:$199</formula>
    <oldFormula>район!$199:$199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2.xml><?xml version="1.0" encoding="utf-8"?>
<revisions xmlns="http://schemas.openxmlformats.org/spreadsheetml/2006/main" xmlns:r="http://schemas.openxmlformats.org/officeDocument/2006/relationships">
  <rcc rId="93607" sId="3" odxf="1" dxf="1" numFmtId="4">
    <oc r="F180">
      <v>0</v>
    </oc>
    <nc r="F180">
      <v>19.865310000000001</v>
    </nc>
    <odxf>
      <alignment vertical="center" readingOrder="0"/>
    </odxf>
    <ndxf>
      <alignment vertical="top" readingOrder="0"/>
    </ndxf>
  </rcc>
  <rcc rId="93608" sId="3" numFmtId="4">
    <oc r="F181">
      <v>9015.6712299999999</v>
    </oc>
    <nc r="F181">
      <v>10047.64316</v>
    </nc>
  </rcc>
  <rcc rId="93609" sId="3" numFmtId="4">
    <oc r="F183">
      <v>105.45023</v>
    </oc>
    <nc r="F183">
      <v>147.69999999999999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21.xml><?xml version="1.0" encoding="utf-8"?>
<revisions xmlns="http://schemas.openxmlformats.org/spreadsheetml/2006/main" xmlns:r="http://schemas.openxmlformats.org/officeDocument/2006/relationships">
  <rcc rId="93274" sId="3" numFmtId="4">
    <oc r="F126">
      <v>1046.0984599999999</v>
    </oc>
    <nc r="F126">
      <v>1243.85799</v>
    </nc>
  </rcc>
  <rcc rId="93275" sId="3" numFmtId="4">
    <oc r="F129">
      <v>23528.488069999999</v>
    </oc>
    <nc r="F129">
      <v>44053.655480000001</v>
    </nc>
  </rcc>
  <rcc rId="93276" sId="3" numFmtId="4">
    <oc r="F130">
      <v>6553.3021600000002</v>
    </oc>
    <nc r="F130">
      <v>12198.438759999999</v>
    </nc>
  </rcc>
  <rcc rId="93277" sId="3" numFmtId="4">
    <oc r="F132">
      <v>42857.339870000003</v>
    </oc>
    <nc r="F132">
      <v>62076.280079999997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3.xml><?xml version="1.0" encoding="utf-8"?>
<revisions xmlns="http://schemas.openxmlformats.org/spreadsheetml/2006/main" xmlns:r="http://schemas.openxmlformats.org/officeDocument/2006/relationships">
  <rcc rId="93966" sId="3" numFmtId="4">
    <oc r="D70">
      <v>115018.2</v>
    </oc>
    <nc r="D70">
      <v>125473.8</v>
    </nc>
  </rcc>
  <rcc rId="93967" sId="3" numFmtId="4">
    <oc r="C72">
      <v>249210.53625999999</v>
    </oc>
    <nc r="C72">
      <v>357758.83428000001</v>
    </nc>
  </rcc>
  <rcc rId="93968" sId="3" numFmtId="4">
    <oc r="D72">
      <v>188293.75239000001</v>
    </oc>
    <nc r="D72">
      <v>353416.66005000001</v>
    </nc>
  </rcc>
  <rcc rId="93969" sId="3" numFmtId="4">
    <oc r="C73">
      <v>569783.18310000002</v>
    </oc>
    <nc r="C73">
      <v>569981.97462999995</v>
    </nc>
  </rcc>
  <rcc rId="93970" sId="3" numFmtId="4">
    <oc r="D73">
      <v>520949.11855000001</v>
    </oc>
    <nc r="D73">
      <v>569859.99676999997</v>
    </nc>
  </rcc>
  <rcc rId="93971" sId="3" numFmtId="4">
    <oc r="C74">
      <v>56020.28342</v>
    </oc>
    <nc r="C74">
      <v>54127.77506</v>
    </nc>
  </rcc>
  <rcc rId="93972" sId="3" numFmtId="4">
    <oc r="D74">
      <v>50402.245239999997</v>
    </oc>
    <nc r="D74">
      <v>54127.77506</v>
    </nc>
  </rcc>
  <rcc rId="93973" sId="3" numFmtId="4">
    <oc r="D77">
      <v>-500.27202999999997</v>
    </oc>
    <nc r="D77">
      <v>-13766.92851</v>
    </nc>
  </rcc>
  <rcc rId="93974" sId="3" numFmtId="4">
    <oc r="C55">
      <v>12150</v>
    </oc>
    <nc r="C55">
      <v>12000</v>
    </nc>
  </rcc>
  <rcc rId="93975" sId="3" numFmtId="4">
    <oc r="D55">
      <v>12222.7155</v>
    </oc>
    <nc r="D55">
      <v>12087.937389999999</v>
    </nc>
  </rcc>
  <rfmt sheetId="3" sqref="C78:D78">
    <dxf>
      <numFmt numFmtId="4" formatCode="#,##0.00"/>
    </dxf>
  </rfmt>
  <rfmt sheetId="3" sqref="C78:D78">
    <dxf>
      <numFmt numFmtId="187" formatCode="#,##0.000"/>
    </dxf>
  </rfmt>
  <rfmt sheetId="3" sqref="C78:D78">
    <dxf>
      <numFmt numFmtId="186" formatCode="#,##0.0000"/>
    </dxf>
  </rfmt>
  <rfmt sheetId="3" sqref="C78:D78">
    <dxf>
      <numFmt numFmtId="172" formatCode="#,##0.00000"/>
    </dxf>
  </rfmt>
  <rfmt sheetId="3" sqref="D6:D67">
    <dxf>
      <numFmt numFmtId="4" formatCode="#,##0.00"/>
    </dxf>
  </rfmt>
  <rfmt sheetId="3" sqref="D6:D67">
    <dxf>
      <numFmt numFmtId="187" formatCode="#,##0.000"/>
    </dxf>
  </rfmt>
  <rfmt sheetId="3" sqref="D6:D67">
    <dxf>
      <numFmt numFmtId="186" formatCode="#,##0.0000"/>
    </dxf>
  </rfmt>
  <rfmt sheetId="3" sqref="D6:D67">
    <dxf>
      <numFmt numFmtId="172" formatCode="#,##0.00000"/>
    </dxf>
  </rfmt>
  <rcc rId="93976" sId="3" numFmtId="4">
    <oc r="D66">
      <v>1190</v>
    </oc>
    <nc r="D66">
      <v>1189.48362</v>
    </nc>
  </rcc>
  <rfmt sheetId="3" sqref="D6:D67">
    <dxf>
      <numFmt numFmtId="186" formatCode="#,##0.0000"/>
    </dxf>
  </rfmt>
  <rfmt sheetId="3" sqref="D6:D67">
    <dxf>
      <numFmt numFmtId="187" formatCode="#,##0.000"/>
    </dxf>
  </rfmt>
  <rfmt sheetId="3" sqref="D6:D67">
    <dxf>
      <numFmt numFmtId="4" formatCode="#,##0.00"/>
    </dxf>
  </rfmt>
  <rfmt sheetId="3" sqref="D6:D67">
    <dxf>
      <numFmt numFmtId="167" formatCode="#,##0.0"/>
    </dxf>
  </rfmt>
  <rfmt sheetId="3" sqref="C78:D78">
    <dxf>
      <numFmt numFmtId="186" formatCode="#,##0.0000"/>
    </dxf>
  </rfmt>
  <rfmt sheetId="3" sqref="C78:D78">
    <dxf>
      <numFmt numFmtId="187" formatCode="#,##0.000"/>
    </dxf>
  </rfmt>
  <rfmt sheetId="3" sqref="C78:D78">
    <dxf>
      <numFmt numFmtId="4" formatCode="#,##0.00"/>
    </dxf>
  </rfmt>
  <rfmt sheetId="3" sqref="C78:D78">
    <dxf>
      <numFmt numFmtId="167" formatCode="#,##0.0"/>
    </dxf>
  </rfmt>
  <rcc rId="93977" sId="3" numFmtId="4">
    <oc r="D83">
      <v>5.0289000000000001</v>
    </oc>
    <nc r="D83">
      <v>49.999000000000002</v>
    </nc>
  </rcc>
  <rcc rId="93978" sId="3" numFmtId="4">
    <oc r="C84">
      <v>82555.013879999999</v>
    </oc>
    <nc r="C84">
      <v>83034.477880000006</v>
    </nc>
  </rcc>
  <rcc rId="93979" sId="3" numFmtId="4">
    <oc r="D84">
      <v>67113.724369999996</v>
    </oc>
    <nc r="D84">
      <v>82290.280629999994</v>
    </nc>
  </rcc>
  <rcc rId="93980" sId="3" numFmtId="4">
    <oc r="C86">
      <v>9011.7415000000001</v>
    </oc>
    <nc r="C86">
      <v>8611.7415000000001</v>
    </nc>
  </rcc>
  <rcc rId="93981" sId="3" numFmtId="4">
    <oc r="D86">
      <v>7185.72289</v>
    </oc>
    <nc r="D86">
      <v>8586.6925499999998</v>
    </nc>
  </rcc>
  <rcc rId="93982" sId="3" numFmtId="4">
    <oc r="C88">
      <v>11399.439319999999</v>
    </oc>
    <nc r="C88">
      <v>28581.849099999999</v>
    </nc>
  </rcc>
  <rcc rId="93983" sId="3" numFmtId="4">
    <oc r="C89">
      <v>50021.942790000001</v>
    </oc>
    <nc r="C89">
      <v>50033.762739999998</v>
    </nc>
  </rcc>
  <rcc rId="93984" sId="3" numFmtId="4">
    <oc r="D89">
      <v>39623.574159999996</v>
    </oc>
    <nc r="D89">
      <v>49592.696620000002</v>
    </nc>
  </rcc>
  <rcc rId="93985" sId="3" numFmtId="4">
    <oc r="D92">
      <v>1747.7224200000001</v>
    </oc>
    <nc r="D92">
      <v>2138.1</v>
    </nc>
  </rcc>
  <rcc rId="93986" sId="3" numFmtId="4">
    <oc r="D94">
      <v>1268.69634</v>
    </oc>
    <nc r="D94">
      <v>1586.6</v>
    </nc>
  </rcc>
  <rcc rId="93987" sId="3" numFmtId="4">
    <oc r="C95">
      <v>3498.9</v>
    </oc>
    <nc r="C95">
      <v>4008.4797600000002</v>
    </nc>
  </rcc>
  <rcc rId="93988" sId="3" numFmtId="4">
    <oc r="D95">
      <v>3482.41878</v>
    </oc>
    <nc r="D95">
      <v>4007.3715900000002</v>
    </nc>
  </rcc>
  <rcc rId="93989" sId="3" numFmtId="4">
    <oc r="C96">
      <v>27434.38365</v>
    </oc>
    <nc r="C96">
      <v>27537.96529</v>
    </nc>
  </rcc>
  <rcc rId="93990" sId="3" numFmtId="4">
    <oc r="D96">
      <v>1075.04991</v>
    </oc>
    <nc r="D96">
      <v>25305.63551</v>
    </nc>
  </rcc>
  <rcc rId="93991" sId="3" numFmtId="4">
    <oc r="D97">
      <v>1142.1742200000001</v>
    </oc>
    <nc r="D97">
      <v>1980.0728999999999</v>
    </nc>
  </rcc>
  <rcc rId="93992" sId="3" numFmtId="4">
    <oc r="C101">
      <v>1222.73405</v>
    </oc>
    <nc r="C101">
      <v>1138.43705</v>
    </nc>
  </rcc>
  <rcc rId="93993" sId="3" numFmtId="4">
    <oc r="D101">
      <v>942.40625999999997</v>
    </oc>
    <nc r="D101">
      <v>1068.0507600000001</v>
    </nc>
  </rcc>
  <rcc rId="93994" sId="3" numFmtId="4">
    <oc r="C105">
      <v>1613.54387</v>
    </oc>
    <nc r="C105">
      <v>2838.0744500000001</v>
    </nc>
  </rcc>
  <rcc rId="93995" sId="3" numFmtId="4">
    <oc r="C106">
      <v>160918.94341000001</v>
    </oc>
    <nc r="C106">
      <v>175142.26407999999</v>
    </nc>
  </rcc>
  <rcc rId="93996" sId="3" numFmtId="4">
    <oc r="D106">
      <v>110260.9635</v>
    </oc>
    <nc r="D106">
      <v>154621.68150000001</v>
    </nc>
  </rcc>
  <rcc rId="93997" sId="3" numFmtId="4">
    <oc r="C116">
      <v>5625.1752399999996</v>
    </oc>
    <nc r="C116">
      <v>5374.3115299999999</v>
    </nc>
  </rcc>
  <rcc rId="93998" sId="3" numFmtId="4">
    <oc r="D116">
      <v>2515.8366700000001</v>
    </oc>
    <nc r="D116">
      <v>3862.9279299999998</v>
    </nc>
  </rcc>
  <rcc rId="93999" sId="3" numFmtId="4">
    <oc r="C122">
      <v>4739.9020899999996</v>
    </oc>
    <nc r="C122">
      <v>4539.9020899999996</v>
    </nc>
  </rcc>
  <rcc rId="94000" sId="3" numFmtId="4">
    <oc r="D122">
      <v>4332.7161999999998</v>
    </oc>
    <nc r="D122">
      <v>4470.6744900000003</v>
    </nc>
  </rcc>
  <rcc rId="94001" sId="3" numFmtId="4">
    <oc r="C125">
      <v>91731.684999999998</v>
    </oc>
    <nc r="C125">
      <v>139064.77963999999</v>
    </nc>
  </rcc>
  <rcc rId="94002" sId="3" numFmtId="4">
    <oc r="D125">
      <v>43720.425020000002</v>
    </oc>
    <nc r="D125">
      <v>73166.981979999997</v>
    </nc>
  </rcc>
  <rcc rId="94003" sId="3" numFmtId="4">
    <oc r="C133">
      <v>88966.37053</v>
    </oc>
    <nc r="C133">
      <v>105237.49197</v>
    </nc>
  </rcc>
  <rcc rId="94004" sId="3" numFmtId="4">
    <oc r="D133">
      <v>52535.093289999997</v>
    </oc>
    <nc r="D133">
      <v>69563.121830000004</v>
    </nc>
  </rcc>
  <rcc rId="94005" sId="3" numFmtId="4">
    <nc r="D143">
      <v>4.9000000000000004</v>
    </nc>
  </rcc>
  <rcc rId="94006" sId="3">
    <nc r="E143">
      <f>SUM(D143/C143*100)</f>
    </nc>
  </rcc>
  <rcc rId="94007" sId="3">
    <oc r="D121">
      <f>SUM(D122+D125+D133)</f>
    </oc>
    <nc r="D121">
      <f>SUM(D122+D125+D133+D143)</f>
    </nc>
  </rcc>
  <rfmt sheetId="3" sqref="D143" start="0" length="2147483647">
    <dxf>
      <font>
        <sz val="20"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5.xml><?xml version="1.0" encoding="utf-8"?>
<revisions xmlns="http://schemas.openxmlformats.org/spreadsheetml/2006/main" xmlns:r="http://schemas.openxmlformats.org/officeDocument/2006/relationships">
  <rcc rId="93102" sId="3" odxf="1" dxf="1" numFmtId="4">
    <oc r="F102">
      <v>361</v>
    </oc>
    <nc r="F102">
      <v>534.68010000000004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fmt sheetId="3" sqref="F103" start="0" length="0">
    <dxf>
      <alignment vertical="top" readingOrder="0"/>
      <border outline="0">
        <left style="thin">
          <color indexed="64"/>
        </left>
      </border>
    </dxf>
  </rfmt>
  <rcc rId="93103" sId="3" odxf="1" dxf="1" numFmtId="4">
    <oc r="F104">
      <v>212.5</v>
    </oc>
    <nc r="F104">
      <v>212.47678999999999</v>
    </nc>
    <odxf>
      <alignment vertical="center" readingOrder="0"/>
      <border outline="0">
        <left style="medium">
          <color indexed="64"/>
        </left>
      </border>
    </odxf>
    <ndxf>
      <alignment vertical="top" readingOrder="0"/>
      <border outline="0">
        <left style="thin">
          <color indexed="64"/>
        </left>
      </border>
    </ndxf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94184" sId="3" numFmtId="4">
    <oc r="D102">
      <v>421.73039999999997</v>
    </oc>
    <nc r="D102">
      <v>543.32489999999996</v>
    </nc>
  </rcc>
  <rcc rId="94185" sId="3" numFmtId="4">
    <oc r="C103">
      <v>427.7</v>
    </oc>
    <nc r="C103">
      <v>343.40300000000002</v>
    </nc>
  </rcc>
  <rcc rId="94186" sId="3" numFmtId="4">
    <oc r="C107">
      <v>49889.272870000001</v>
    </oc>
    <nc r="C107">
      <v>62603.110679999998</v>
    </nc>
  </rcc>
  <rcc rId="94187" sId="3" numFmtId="4">
    <oc r="D107">
      <v>22755.61621</v>
    </oc>
    <nc r="D107">
      <v>44952.868869999998</v>
    </nc>
  </rcc>
  <rcc rId="94188" sId="3" numFmtId="4">
    <oc r="C109">
      <v>5692.4547300000004</v>
    </oc>
    <nc r="C109">
      <v>10780.729160000001</v>
    </nc>
  </rcc>
  <rcc rId="94189" sId="3" numFmtId="4">
    <oc r="D109">
      <v>3856.1995499999998</v>
    </oc>
    <nc r="D109">
      <v>9355.4711900000002</v>
    </nc>
  </rcc>
  <rcc rId="94190" sId="3" numFmtId="4">
    <oc r="C110">
      <v>18766.7</v>
    </oc>
    <nc r="C110">
      <v>15017.75243</v>
    </nc>
  </rcc>
  <rcc rId="94191" sId="3" numFmtId="4">
    <oc r="D111">
      <v>19963.333200000001</v>
    </oc>
    <nc r="D111">
      <v>22587.404299999998</v>
    </nc>
  </rcc>
  <rcc rId="94192" sId="3" numFmtId="4">
    <oc r="C112">
      <v>21715.735189999999</v>
    </oc>
    <nc r="C112">
      <v>21885.891189999998</v>
    </nc>
  </rcc>
  <rcc rId="94193" sId="3" numFmtId="4">
    <oc r="D112">
      <v>17362.33311</v>
    </oc>
    <nc r="D112">
      <v>20724.071749999999</v>
    </nc>
  </rcc>
  <rcc rId="94194" sId="3" numFmtId="4">
    <oc r="D113">
      <v>5714.2873499999996</v>
    </oc>
    <nc r="D113">
      <v>8790.6111799999999</v>
    </nc>
  </rcc>
  <rcc rId="94195" sId="3" numFmtId="4">
    <oc r="D115">
      <v>24655.80431</v>
    </oc>
    <nc r="D115">
      <v>32258.06451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92877" sId="3" numFmtId="4">
    <oc r="F7">
      <v>141183.77544999999</v>
    </oc>
    <nc r="F7">
      <v>167464.34327000001</v>
    </nc>
  </rcc>
  <rcc rId="92878" sId="3" numFmtId="4">
    <oc r="F9">
      <v>9115.9828400000006</v>
    </oc>
    <nc r="F9">
      <v>10138.76217</v>
    </nc>
  </rcc>
  <rcc rId="92879" sId="3" numFmtId="4">
    <oc r="F10">
      <v>48.622909999999997</v>
    </oc>
    <nc r="F10">
      <v>52.953719999999997</v>
    </nc>
  </rcc>
  <rcc rId="92880" sId="3" numFmtId="4">
    <oc r="F11">
      <v>9519.7731500000009</v>
    </oc>
    <nc r="F11">
      <v>10479.201880000001</v>
    </nc>
  </rcc>
  <rcc rId="92881" sId="3" numFmtId="4">
    <oc r="F12">
      <v>-1012.86412</v>
    </oc>
    <nc r="F12">
      <v>-1103.8543099999999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92" sId="3">
    <oc r="E12">
      <f>SUM(D12/C12*100)</f>
    </oc>
    <nc r="E12"/>
  </rcc>
  <rcc rId="94893" sId="3">
    <oc r="E15">
      <f>SUM(D15/C15*100)</f>
    </oc>
    <nc r="E15"/>
  </rcc>
  <rcc rId="94894" sId="3">
    <oc r="G66">
      <f>SUM(D66/F66*100)</f>
    </oc>
    <nc r="G66"/>
  </rcc>
  <rcc rId="94895" sId="3">
    <oc r="E166">
      <f>SUM(D166/C166*100)</f>
    </oc>
    <nc r="E166"/>
  </rcc>
  <rcc rId="94896" sId="3">
    <oc r="G195">
      <f>SUM(D195/F195*100)</f>
    </oc>
    <nc r="G195"/>
  </rcc>
  <rcc rId="94897" sId="3">
    <nc r="G181">
      <f>SUM(D181/F181*100)</f>
    </nc>
  </rcc>
  <rcc rId="94898" sId="3">
    <oc r="G182">
      <f>SUM(D182/F182*100)</f>
    </oc>
    <nc r="G182">
      <f>SUM(D182/F182*100)</f>
    </nc>
  </rcc>
  <rcc rId="94899" sId="3">
    <nc r="G183">
      <f>SUM(D183/F183*100)</f>
    </nc>
  </rcc>
  <rcc rId="94900" sId="3">
    <nc r="G184">
      <f>SUM(D184/F184*100)</f>
    </nc>
  </rcc>
  <rcc rId="94901" sId="3">
    <oc r="G185">
      <f>SUM(D185/F185*100)</f>
    </oc>
    <nc r="G185">
      <f>SUM(D185/F185*100)</f>
    </nc>
  </rcc>
  <rcc rId="94902" sId="3">
    <nc r="G186">
      <f>SUM(D186/F186*100)</f>
    </nc>
  </rcc>
  <rcc rId="94903" sId="3">
    <nc r="G187">
      <f>SUM(D187/F187*100)</f>
    </nc>
  </rcc>
  <rcc rId="94904" sId="3">
    <nc r="G188">
      <f>SUM(D188/F188*100)</f>
    </nc>
  </rcc>
  <rcc rId="94905" sId="3">
    <nc r="G152">
      <f>SUM(D152/F152*100)</f>
    </nc>
  </rcc>
  <rcc rId="94906" sId="3">
    <nc r="G153">
      <f>SUM(D153/F153*100)</f>
    </nc>
  </rcc>
  <rcc rId="94907" sId="3">
    <nc r="G103">
      <f>SUM(D103/F103*100)</f>
    </nc>
  </rcc>
  <rcc rId="94908" sId="3">
    <nc r="G104">
      <f>SUM(D104/F104*100)</f>
    </nc>
  </rcc>
  <rcc rId="94909" sId="3">
    <nc r="G105">
      <f>SUM(D105/F105*100)</f>
    </nc>
  </rcc>
  <rcc rId="94910" sId="3">
    <nc r="G90">
      <f>SUM(D90/F90*100)</f>
    </nc>
  </rcc>
  <rfmt sheetId="3" sqref="D5:D6" start="0" length="0">
    <dxf>
      <border>
        <left style="thin">
          <color indexed="64"/>
        </left>
      </border>
    </dxf>
  </rfmt>
  <rfmt sheetId="3" sqref="D5:D6" start="0" length="0">
    <dxf>
      <border>
        <right style="thin">
          <color indexed="64"/>
        </right>
      </border>
    </dxf>
  </rfmt>
  <rfmt sheetId="3" sqref="D5:D6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3" sqref="D13:D30" start="0" length="0">
    <dxf>
      <border>
        <left style="thin">
          <color indexed="64"/>
        </left>
      </border>
    </dxf>
  </rfmt>
  <rfmt sheetId="3" sqref="D13:D30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3" sqref="D3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D49:D60" start="0" length="0">
    <dxf>
      <border>
        <left style="thin">
          <color indexed="64"/>
        </left>
      </border>
    </dxf>
  </rfmt>
  <rfmt sheetId="3" sqref="D49:D60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3" sqref="E48:G48" start="0" length="2147483647">
    <dxf>
      <font>
        <b/>
      </font>
    </dxf>
  </rfmt>
  <rfmt sheetId="3" sqref="E50:G50" start="0" length="2147483647">
    <dxf>
      <font>
        <b/>
      </font>
    </dxf>
  </rfmt>
  <rfmt sheetId="3" sqref="E53:G53" start="0" length="2147483647">
    <dxf>
      <font>
        <b/>
      </font>
    </dxf>
  </rfmt>
  <rfmt sheetId="3" sqref="E59:G59" start="0" length="2147483647">
    <dxf>
      <font>
        <b/>
      </font>
    </dxf>
  </rfmt>
  <rfmt sheetId="3" sqref="E65:G65" start="0" length="2147483647">
    <dxf>
      <font>
        <b/>
      </font>
    </dxf>
  </rfmt>
  <rfmt sheetId="3" sqref="D6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6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68:G69" start="0" length="2147483647">
    <dxf>
      <font>
        <b/>
      </font>
    </dxf>
  </rfmt>
  <rfmt sheetId="3" sqref="E78:G78" start="0" length="2147483647">
    <dxf>
      <font>
        <b/>
      </font>
    </dxf>
  </rfmt>
  <rfmt sheetId="3" sqref="E82:G82" start="0" length="2147483647">
    <dxf>
      <font>
        <b/>
      </font>
    </dxf>
  </rfmt>
  <rfmt sheetId="3" sqref="E91:G91" start="0" length="2147483647">
    <dxf>
      <font>
        <b/>
      </font>
    </dxf>
  </rfmt>
  <rfmt sheetId="3" sqref="E93:G93" start="0" length="2147483647">
    <dxf>
      <font>
        <b/>
      </font>
    </dxf>
  </rfmt>
  <rfmt sheetId="3" sqref="E98:G98" start="0" length="2147483647">
    <dxf>
      <font>
        <b/>
      </font>
    </dxf>
  </rfmt>
  <rfmt sheetId="3" sqref="E106:G106" start="0" length="2147483647">
    <dxf>
      <font>
        <b/>
      </font>
    </dxf>
  </rfmt>
  <rfmt sheetId="3" sqref="D10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0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108:G108" start="0" length="2147483647">
    <dxf>
      <font>
        <b/>
      </font>
    </dxf>
  </rfmt>
  <rfmt sheetId="3" sqref="E116:G116" start="0" length="2147483647">
    <dxf>
      <font>
        <b/>
      </font>
    </dxf>
  </rfmt>
  <rcc rId="94911" sId="3">
    <oc r="E117">
      <f>SUM(D117/C117*100)</f>
    </oc>
    <nc r="E117"/>
  </rcc>
  <rfmt sheetId="3" sqref="E121:G121" start="0" length="2147483647">
    <dxf>
      <font>
        <b/>
      </font>
    </dxf>
  </rfmt>
  <rfmt sheetId="3" sqref="D13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144:G144" start="0" length="2147483647">
    <dxf>
      <font>
        <b/>
      </font>
    </dxf>
  </rfmt>
  <rfmt sheetId="3" sqref="D14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149:G149" start="0" length="2147483647">
    <dxf>
      <font>
        <b/>
      </font>
    </dxf>
  </rfmt>
  <rfmt sheetId="3" sqref="B156:B165">
    <dxf>
      <alignment vertical="top" readingOrder="0"/>
    </dxf>
  </rfmt>
  <rfmt sheetId="3" sqref="E172:G172" start="0" length="2147483647">
    <dxf>
      <font>
        <b/>
      </font>
    </dxf>
  </rfmt>
  <rfmt sheetId="3" sqref="E180:G180" start="0" length="2147483647">
    <dxf>
      <font>
        <b/>
      </font>
    </dxf>
  </rfmt>
  <rfmt sheetId="3" sqref="E190:G190" start="0" length="2147483647">
    <dxf>
      <font>
        <b/>
      </font>
    </dxf>
  </rfmt>
  <rfmt sheetId="3" sqref="A200:G200" start="0" length="2147483647">
    <dxf>
      <font>
        <b val="0"/>
      </font>
    </dxf>
  </rfmt>
  <rfmt sheetId="3" sqref="A200:G200" start="0" length="2147483647">
    <dxf>
      <font>
        <b/>
      </font>
    </dxf>
  </rfmt>
  <rfmt sheetId="3" sqref="B200" start="0" length="2147483647">
    <dxf>
      <font>
        <sz val="24"/>
      </font>
    </dxf>
  </rfmt>
  <rfmt sheetId="3" sqref="C200:G200" start="0" length="2147483647">
    <dxf>
      <font>
        <sz val="26"/>
      </font>
    </dxf>
  </rfmt>
  <rfmt sheetId="3" sqref="A200:G200">
    <dxf>
      <fill>
        <patternFill>
          <bgColor theme="2" tint="-9.9978637043366805E-2"/>
        </patternFill>
      </fill>
    </dxf>
  </rfmt>
  <rfmt sheetId="3" sqref="D12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A78:G78" start="0" length="2147483647">
    <dxf>
      <font>
        <sz val="26"/>
      </font>
    </dxf>
  </rfmt>
  <rfmt sheetId="3" sqref="B78" start="0" length="2147483647">
    <dxf>
      <font>
        <sz val="18"/>
      </font>
    </dxf>
  </rfmt>
  <rfmt sheetId="3" sqref="A78:G78">
    <dxf>
      <fill>
        <patternFill>
          <bgColor theme="2" tint="-9.9978637043366805E-2"/>
        </patternFill>
      </fill>
    </dxf>
  </rfmt>
  <rfmt sheetId="3" sqref="C8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8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81:G81" start="0" length="2147483647">
    <dxf>
      <font>
        <b/>
      </font>
    </dxf>
  </rfmt>
  <rfmt sheetId="3" sqref="E28:G28" start="0" length="2147483647">
    <dxf>
      <font>
        <b/>
      </font>
    </dxf>
  </rfmt>
  <rfmt sheetId="3" sqref="E26:G26" start="0" length="2147483647">
    <dxf>
      <font>
        <b/>
      </font>
    </dxf>
  </rfmt>
  <rfmt sheetId="3" sqref="E18:G18" start="0" length="2147483647">
    <dxf>
      <font>
        <b/>
      </font>
    </dxf>
  </rfmt>
  <rfmt sheetId="3" sqref="E13:G13" start="0" length="2147483647">
    <dxf>
      <font>
        <b/>
      </font>
    </dxf>
  </rfmt>
  <rfmt sheetId="3" sqref="E6:G6" start="0" length="2147483647">
    <dxf>
      <font>
        <b/>
      </font>
    </dxf>
  </rfmt>
  <rfmt sheetId="3" sqref="E37:G38" start="0" length="2147483647">
    <dxf>
      <font>
        <b/>
      </font>
    </dxf>
  </rfmt>
  <rfmt sheetId="3" sqref="D3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C83:G104">
    <dxf>
      <alignment vertical="bottom" readingOrder="0"/>
    </dxf>
  </rfmt>
  <rfmt sheetId="3" sqref="C83:G104">
    <dxf>
      <alignment vertical="center" readingOrder="0"/>
    </dxf>
  </rfmt>
  <rfmt sheetId="3" sqref="B108:B192">
    <dxf>
      <alignment vertical="top" readingOrder="0"/>
    </dxf>
  </rfmt>
  <rfmt sheetId="3" sqref="B139" start="0" length="2147483647">
    <dxf>
      <font>
        <sz val="16"/>
      </font>
    </dxf>
  </rfmt>
  <rfmt sheetId="3" sqref="B135:B142" start="0" length="2147483647">
    <dxf>
      <font>
        <sz val="16"/>
      </font>
    </dxf>
  </rfmt>
  <rdn rId="0" localSheetId="1" customView="1" name="Z_A486C6EE_08B2_475E_8DA1_C3C3163412A9_.wvu.PrintArea" hidden="1" oldHidden="1">
    <formula>Консол!$A$1:$H$52</formula>
  </rdn>
  <rdn rId="0" localSheetId="1" customView="1" name="Z_A486C6EE_08B2_475E_8DA1_C3C3163412A9_.wvu.Rows" hidden="1" oldHidden="1">
    <formula>Консол!$45:$47</formula>
  </rdn>
  <rdn rId="0" localSheetId="2" customView="1" name="Z_A486C6EE_08B2_475E_8DA1_C3C3163412A9_.wvu.PrintArea" hidden="1" oldHidden="1">
    <formula>Справка!$A$1:$FE$31</formula>
  </rdn>
  <rdn rId="0" localSheetId="2" customView="1" name="Z_A486C6EE_08B2_475E_8DA1_C3C3163412A9_.wvu.Cols" hidden="1" oldHidden="1">
    <formula>Справка!$BB:$BD,Справка!$BH:$BJ,Справка!$BN:$BP,Справка!$BR:$BS,Справка!$BZ:$CE,Справка!$DD:$DL</formula>
  </rdn>
  <rdn rId="0" localSheetId="3" customView="1" name="Z_A486C6EE_08B2_475E_8DA1_C3C3163412A9_.wvu.PrintArea" hidden="1" oldHidden="1">
    <formula>район!$A$1:$G$203</formula>
  </rdn>
  <rdn rId="0" localSheetId="3" customView="1" name="Z_A486C6EE_08B2_475E_8DA1_C3C3163412A9_.wvu.Rows" hidden="1" oldHidden="1">
    <formula>район!$199:$199</formula>
  </rdn>
  <rdn rId="0" localSheetId="4" customView="1" name="Z_A486C6EE_08B2_475E_8DA1_C3C3163412A9_.wvu.PrintArea" hidden="1" oldHidden="1">
    <formula>Але!$A$1:$F$97</formula>
  </rdn>
  <rdn rId="0" localSheetId="4" customView="1" name="Z_A486C6EE_08B2_475E_8DA1_C3C3163412A9_.wvu.Rows" hidden="1" oldHidden="1">
    <formula>Але!$19:$24,Але!$28:$28,Але!$40:$40,Але!$55:$56,Але!$63:$64,Але!$69:$70,Але!$74:$74,Але!$79:$82,Але!$86:$93,Але!$142:$142</formula>
  </rdn>
  <rdn rId="0" localSheetId="5" customView="1" name="Z_A486C6EE_08B2_475E_8DA1_C3C3163412A9_.wvu.PrintArea" hidden="1" oldHidden="1">
    <formula>Сун!$A$1:$F$105</formula>
  </rdn>
  <rdn rId="0" localSheetId="5" customView="1" name="Z_A486C6EE_08B2_475E_8DA1_C3C3163412A9_.wvu.Rows" hidden="1" oldHidden="1">
    <formula>Сун!$19:$24,Сун!$44:$44,Сун!$46:$46,Сун!$50:$52,Сун!$59:$59,Сун!$61:$62,Сун!$69:$70,Сун!$80:$80,Сун!$83:$83,Сун!$86:$86,Сун!$88:$90,Сун!$94:$101,Сун!$143:$143</formula>
  </rdn>
  <rdn rId="0" localSheetId="6" customView="1" name="Z_A486C6EE_08B2_475E_8DA1_C3C3163412A9_.wvu.PrintArea" hidden="1" oldHidden="1">
    <formula>Иль!$A$1:$F$103</formula>
  </rdn>
  <rdn rId="0" localSheetId="6" customView="1" name="Z_A486C6EE_08B2_475E_8DA1_C3C3163412A9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</rdn>
  <rdn rId="0" localSheetId="7" customView="1" name="Z_A486C6EE_08B2_475E_8DA1_C3C3163412A9_.wvu.Rows" hidden="1" oldHidden="1">
    <formula>Кад!$19:$24,Кад!$31:$33,Кад!$38:$38,Кад!$42:$42,Кад!$44:$44,Кад!$48:$48,Кад!$56:$56,Кад!$58:$60,Кад!$66:$67,Кад!$72:$72,Кад!$77:$77,Кад!$82:$86,Кад!$89:$96,Кад!$142:$142</formula>
  </rdn>
  <rdn rId="0" localSheetId="8" customView="1" name="Z_A486C6EE_08B2_475E_8DA1_C3C3163412A9_.wvu.PrintArea" hidden="1" oldHidden="1">
    <formula>Мор!$A$1:$F$101</formula>
  </rdn>
  <rdn rId="0" localSheetId="8" customView="1" name="Z_A486C6EE_08B2_475E_8DA1_C3C3163412A9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A486C6EE_08B2_475E_8DA1_C3C3163412A9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</rdn>
  <rdn rId="0" localSheetId="10" customView="1" name="Z_A486C6EE_08B2_475E_8DA1_C3C3163412A9_.wvu.Rows" hidden="1" oldHidden="1">
    <formula>Ори!$19:$24,Ори!$43:$43,Ори!$45:$45,Ори!$49:$51,Ори!$58:$58,Ори!$60:$61,Ори!$68:$69,Ори!$75:$75,Ори!$79:$79,Ори!$82:$82,Ори!$85:$89,Ори!$92:$99,Ори!$143:$143</formula>
  </rdn>
  <rdn rId="0" localSheetId="11" customView="1" name="Z_A486C6EE_08B2_475E_8DA1_C3C3163412A9_.wvu.Rows" hidden="1" oldHidden="1">
    <formula>Сят!$19:$24,Сят!$38:$38,Сят!$45:$47,Сят!$57:$57,Сят!$59:$60,Сят!$67:$68,Сят!$78:$78,Сят!$83:$87,Сят!$90:$97,Сят!$143:$143</formula>
  </rdn>
  <rdn rId="0" localSheetId="12" customView="1" name="Z_A486C6EE_08B2_475E_8DA1_C3C3163412A9_.wvu.PrintArea" hidden="1" oldHidden="1">
    <formula>Тор!$A$1:$F$101</formula>
  </rdn>
  <rdn rId="0" localSheetId="12" customView="1" name="Z_A486C6EE_08B2_475E_8DA1_C3C3163412A9_.wvu.Rows" hidden="1" oldHidden="1">
    <formula>Тор!$19:$24,Тор!$39:$39,Тор!$43:$43,Тор!$47:$47,Тор!$49:$49,Тор!$57:$57,Тор!$59:$60,Тор!$67:$68,Тор!$73:$73,Тор!$75:$75,Тор!$79:$79,Тор!$87:$95,Тор!$142:$142</formula>
  </rdn>
  <rdn rId="0" localSheetId="13" customView="1" name="Z_A486C6EE_08B2_475E_8DA1_C3C3163412A9_.wvu.Rows" hidden="1" oldHidden="1">
    <formula>Хор!$20:$22,Хор!$26:$26,Хор!$39:$39,Хор!$45:$47,Хор!$54:$54,Хор!$56:$57,Хор!$64:$65,Хор!$70:$71,Хор!$75:$75,Хор!$80:$84,Хор!$87:$94,Хор!$141:$141</formula>
  </rdn>
  <rdn rId="0" localSheetId="14" customView="1" name="Z_A486C6EE_08B2_475E_8DA1_C3C3163412A9_.wvu.Rows" hidden="1" oldHidden="1">
    <formula>Чум!$19:$19,Чум!$21:$21,Чум!$24:$24,Чум!$43:$43,Чум!$47:$49,Чум!$57:$57,Чум!$59:$60,Чум!$67:$68,Чум!$78:$78,Чум!$83:$87,Чум!$90:$97,Чум!$142:$142</formula>
  </rdn>
  <rdn rId="0" localSheetId="15" customView="1" name="Z_A486C6EE_08B2_475E_8DA1_C3C3163412A9_.wvu.Rows" hidden="1" oldHidden="1">
    <formula>Шать!$19:$25,Шать!$35:$36,Шать!$47:$49,Шать!$57:$57,Шать!$59:$60,Шать!$67:$68,Шать!$74:$74,Шать!$78:$78,Шать!$84:$86,Шать!$90:$97,Шать!$142:$142</formula>
  </rdn>
  <rdn rId="0" localSheetId="16" customView="1" name="Z_A486C6EE_08B2_475E_8DA1_C3C3163412A9_.wvu.PrintArea" hidden="1" oldHidden="1">
    <formula>Юнг!$A$1:$F$100</formula>
  </rdn>
  <rdn rId="0" localSheetId="16" customView="1" name="Z_A486C6EE_08B2_475E_8DA1_C3C3163412A9_.wvu.Rows" hidden="1" oldHidden="1">
    <formula>Юнг!$19:$24,Юнг!$38:$38,Юнг!$42:$42,Юнг!$46:$46,Юнг!$56:$56,Юнг!$58:$59,Юнг!$66:$67,Юнг!$77:$77,Юнг!$82:$86,Юнг!$89:$96,Юнг!$142:$142</formula>
  </rdn>
  <rdn rId="0" localSheetId="17" customView="1" name="Z_A486C6EE_08B2_475E_8DA1_C3C3163412A9_.wvu.Rows" hidden="1" oldHidden="1">
    <formula>Юсь!$19:$24,Юсь!$45:$50,Юсь!$59:$59,Юсь!$61:$62,Юсь!$69:$70,Юсь!$85:$89,Юсь!$92:$99,Юсь!$143:$143</formula>
  </rdn>
  <rdn rId="0" localSheetId="18" customView="1" name="Z_A486C6EE_08B2_475E_8DA1_C3C3163412A9_.wvu.PrintArea" hidden="1" oldHidden="1">
    <formula>Яра!$A$1:$F$102</formula>
  </rdn>
  <rdn rId="0" localSheetId="18" customView="1" name="Z_A486C6EE_08B2_475E_8DA1_C3C3163412A9_.wvu.Rows" hidden="1" oldHidden="1">
    <formula>Яра!$19:$24,Яра!$28:$29,Яра!$48:$49,Яра!$58:$58,Яра!$60:$61,Яра!$68:$69,Яра!$75:$75,Яра!$79:$79,Яра!$84:$88,Яра!$91:$98,Яра!$143:$143</formula>
  </rdn>
  <rdn rId="0" localSheetId="19" customView="1" name="Z_A486C6EE_08B2_475E_8DA1_C3C3163412A9_.wvu.Rows" hidden="1" oldHidden="1">
    <formula>Ярос!$19:$24,Ярос!$28:$28,Ярос!$41:$41,Ярос!$44:$44,Ярос!$47:$48,Ярос!$55:$55,Ярос!$57:$58,Ярос!$65:$66,Ярос!$71:$71,Ярос!$76:$76,Ярос!$83:$85,Ярос!$88:$95</formula>
  </rdn>
  <rdn rId="0" localSheetId="20" customView="1" name="Z_A486C6EE_08B2_475E_8DA1_C3C3163412A9_.wvu.Rows" hidden="1" oldHidden="1">
    <formula>Лист1!$82:$84</formula>
  </rdn>
  <rcv guid="{A486C6EE-08B2-475E-8DA1-C3C3163412A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486C6EE-08B2-475E-8DA1-C3C3163412A9}" action="delete"/>
  <rdn rId="0" localSheetId="1" customView="1" name="Z_A486C6EE_08B2_475E_8DA1_C3C3163412A9_.wvu.PrintArea" hidden="1" oldHidden="1">
    <formula>Консол!$A$1:$H$52</formula>
    <oldFormula>Консол!$A$1:$H$52</oldFormula>
  </rdn>
  <rdn rId="0" localSheetId="1" customView="1" name="Z_A486C6EE_08B2_475E_8DA1_C3C3163412A9_.wvu.Rows" hidden="1" oldHidden="1">
    <formula>Консол!$45:$47</formula>
    <oldFormula>Консол!$45:$47</oldFormula>
  </rdn>
  <rdn rId="0" localSheetId="2" customView="1" name="Z_A486C6EE_08B2_475E_8DA1_C3C3163412A9_.wvu.PrintArea" hidden="1" oldHidden="1">
    <formula>Справка!$A$1:$FE$31</formula>
    <oldFormula>Справка!$A$1:$FE$31</oldFormula>
  </rdn>
  <rdn rId="0" localSheetId="2" customView="1" name="Z_A486C6EE_08B2_475E_8DA1_C3C3163412A9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A486C6EE_08B2_475E_8DA1_C3C3163412A9_.wvu.PrintArea" hidden="1" oldHidden="1">
    <formula>район!$A$1:$G$203</formula>
    <oldFormula>район!$A$1:$G$203</oldFormula>
  </rdn>
  <rdn rId="0" localSheetId="3" customView="1" name="Z_A486C6EE_08B2_475E_8DA1_C3C3163412A9_.wvu.Rows" hidden="1" oldHidden="1">
    <formula>район!$199:$199</formula>
    <oldFormula>район!$199:$199</oldFormula>
  </rdn>
  <rdn rId="0" localSheetId="4" customView="1" name="Z_A486C6EE_08B2_475E_8DA1_C3C3163412A9_.wvu.PrintArea" hidden="1" oldHidden="1">
    <formula>Але!$A$1:$F$97</formula>
    <oldFormula>Але!$A$1:$F$97</oldFormula>
  </rdn>
  <rdn rId="0" localSheetId="4" customView="1" name="Z_A486C6EE_08B2_475E_8DA1_C3C3163412A9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A486C6EE_08B2_475E_8DA1_C3C3163412A9_.wvu.PrintArea" hidden="1" oldHidden="1">
    <formula>Сун!$A$1:$F$105</formula>
    <oldFormula>Сун!$A$1:$F$105</oldFormula>
  </rdn>
  <rdn rId="0" localSheetId="5" customView="1" name="Z_A486C6EE_08B2_475E_8DA1_C3C3163412A9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A486C6EE_08B2_475E_8DA1_C3C3163412A9_.wvu.PrintArea" hidden="1" oldHidden="1">
    <formula>Иль!$A$1:$F$103</formula>
    <oldFormula>Иль!$A$1:$F$103</oldFormula>
  </rdn>
  <rdn rId="0" localSheetId="6" customView="1" name="Z_A486C6EE_08B2_475E_8DA1_C3C3163412A9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A486C6EE_08B2_475E_8DA1_C3C3163412A9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A486C6EE_08B2_475E_8DA1_C3C3163412A9_.wvu.PrintArea" hidden="1" oldHidden="1">
    <formula>Мор!$A$1:$F$101</formula>
    <oldFormula>Мор!$A$1:$F$101</oldFormula>
  </rdn>
  <rdn rId="0" localSheetId="8" customView="1" name="Z_A486C6EE_08B2_475E_8DA1_C3C3163412A9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A486C6EE_08B2_475E_8DA1_C3C3163412A9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A486C6EE_08B2_475E_8DA1_C3C3163412A9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A486C6EE_08B2_475E_8DA1_C3C3163412A9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A486C6EE_08B2_475E_8DA1_C3C3163412A9_.wvu.PrintArea" hidden="1" oldHidden="1">
    <formula>Тор!$A$1:$F$101</formula>
    <oldFormula>Тор!$A$1:$F$101</oldFormula>
  </rdn>
  <rdn rId="0" localSheetId="12" customView="1" name="Z_A486C6EE_08B2_475E_8DA1_C3C3163412A9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A486C6EE_08B2_475E_8DA1_C3C3163412A9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A486C6EE_08B2_475E_8DA1_C3C3163412A9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A486C6EE_08B2_475E_8DA1_C3C3163412A9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A486C6EE_08B2_475E_8DA1_C3C3163412A9_.wvu.PrintArea" hidden="1" oldHidden="1">
    <formula>Юнг!$A$1:$F$100</formula>
    <oldFormula>Юнг!$A$1:$F$100</oldFormula>
  </rdn>
  <rdn rId="0" localSheetId="16" customView="1" name="Z_A486C6EE_08B2_475E_8DA1_C3C3163412A9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A486C6EE_08B2_475E_8DA1_C3C3163412A9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A486C6EE_08B2_475E_8DA1_C3C3163412A9_.wvu.PrintArea" hidden="1" oldHidden="1">
    <formula>Яра!$A$1:$F$102</formula>
    <oldFormula>Яра!$A$1:$F$102</oldFormula>
  </rdn>
  <rdn rId="0" localSheetId="18" customView="1" name="Z_A486C6EE_08B2_475E_8DA1_C3C3163412A9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A486C6EE_08B2_475E_8DA1_C3C3163412A9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A486C6EE_08B2_475E_8DA1_C3C3163412A9_.wvu.Rows" hidden="1" oldHidden="1">
    <formula>Лист1!$82:$84</formula>
    <oldFormula>Лист1!$82:$84</oldFormula>
  </rdn>
  <rcv guid="{A486C6EE-08B2-475E-8DA1-C3C3163412A9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4.bin"/><Relationship Id="rId13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12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1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1.bin"/><Relationship Id="rId10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0.bin"/><Relationship Id="rId9" Type="http://schemas.openxmlformats.org/officeDocument/2006/relationships/printerSettings" Target="../printerSettings/printerSettings135.bin"/><Relationship Id="rId14" Type="http://schemas.openxmlformats.org/officeDocument/2006/relationships/printerSettings" Target="../printerSettings/printerSettings140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Relationship Id="rId14" Type="http://schemas.openxmlformats.org/officeDocument/2006/relationships/printerSettings" Target="../printerSettings/printerSettings15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13" Type="http://schemas.openxmlformats.org/officeDocument/2006/relationships/printerSettings" Target="../printerSettings/printerSettings167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12" Type="http://schemas.openxmlformats.org/officeDocument/2006/relationships/printerSettings" Target="../printerSettings/printerSettings166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Relationship Id="rId14" Type="http://schemas.openxmlformats.org/officeDocument/2006/relationships/printerSettings" Target="../printerSettings/printerSettings16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13" Type="http://schemas.openxmlformats.org/officeDocument/2006/relationships/printerSettings" Target="../printerSettings/printerSettings181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Relationship Id="rId14" Type="http://schemas.openxmlformats.org/officeDocument/2006/relationships/printerSettings" Target="../printerSettings/printerSettings18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85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4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87.bin"/><Relationship Id="rId10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Relationship Id="rId14" Type="http://schemas.openxmlformats.org/officeDocument/2006/relationships/printerSettings" Target="../printerSettings/printerSettings196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4.bin"/><Relationship Id="rId13" Type="http://schemas.openxmlformats.org/officeDocument/2006/relationships/printerSettings" Target="../printerSettings/printerSettings209.bin"/><Relationship Id="rId3" Type="http://schemas.openxmlformats.org/officeDocument/2006/relationships/printerSettings" Target="../printerSettings/printerSettings199.bin"/><Relationship Id="rId7" Type="http://schemas.openxmlformats.org/officeDocument/2006/relationships/printerSettings" Target="../printerSettings/printerSettings203.bin"/><Relationship Id="rId12" Type="http://schemas.openxmlformats.org/officeDocument/2006/relationships/printerSettings" Target="../printerSettings/printerSettings208.bin"/><Relationship Id="rId2" Type="http://schemas.openxmlformats.org/officeDocument/2006/relationships/printerSettings" Target="../printerSettings/printerSettings198.bin"/><Relationship Id="rId1" Type="http://schemas.openxmlformats.org/officeDocument/2006/relationships/printerSettings" Target="../printerSettings/printerSettings197.bin"/><Relationship Id="rId6" Type="http://schemas.openxmlformats.org/officeDocument/2006/relationships/printerSettings" Target="../printerSettings/printerSettings202.bin"/><Relationship Id="rId11" Type="http://schemas.openxmlformats.org/officeDocument/2006/relationships/printerSettings" Target="../printerSettings/printerSettings207.bin"/><Relationship Id="rId5" Type="http://schemas.openxmlformats.org/officeDocument/2006/relationships/printerSettings" Target="../printerSettings/printerSettings201.bin"/><Relationship Id="rId10" Type="http://schemas.openxmlformats.org/officeDocument/2006/relationships/printerSettings" Target="../printerSettings/printerSettings206.bin"/><Relationship Id="rId4" Type="http://schemas.openxmlformats.org/officeDocument/2006/relationships/printerSettings" Target="../printerSettings/printerSettings200.bin"/><Relationship Id="rId9" Type="http://schemas.openxmlformats.org/officeDocument/2006/relationships/printerSettings" Target="../printerSettings/printerSettings205.bin"/><Relationship Id="rId14" Type="http://schemas.openxmlformats.org/officeDocument/2006/relationships/printerSettings" Target="../printerSettings/printerSettings210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8.bin"/><Relationship Id="rId13" Type="http://schemas.openxmlformats.org/officeDocument/2006/relationships/printerSettings" Target="../printerSettings/printerSettings223.bin"/><Relationship Id="rId3" Type="http://schemas.openxmlformats.org/officeDocument/2006/relationships/printerSettings" Target="../printerSettings/printerSettings213.bin"/><Relationship Id="rId7" Type="http://schemas.openxmlformats.org/officeDocument/2006/relationships/printerSettings" Target="../printerSettings/printerSettings217.bin"/><Relationship Id="rId12" Type="http://schemas.openxmlformats.org/officeDocument/2006/relationships/printerSettings" Target="../printerSettings/printerSettings222.bin"/><Relationship Id="rId2" Type="http://schemas.openxmlformats.org/officeDocument/2006/relationships/printerSettings" Target="../printerSettings/printerSettings212.bin"/><Relationship Id="rId1" Type="http://schemas.openxmlformats.org/officeDocument/2006/relationships/printerSettings" Target="../printerSettings/printerSettings211.bin"/><Relationship Id="rId6" Type="http://schemas.openxmlformats.org/officeDocument/2006/relationships/printerSettings" Target="../printerSettings/printerSettings216.bin"/><Relationship Id="rId11" Type="http://schemas.openxmlformats.org/officeDocument/2006/relationships/printerSettings" Target="../printerSettings/printerSettings221.bin"/><Relationship Id="rId5" Type="http://schemas.openxmlformats.org/officeDocument/2006/relationships/printerSettings" Target="../printerSettings/printerSettings215.bin"/><Relationship Id="rId10" Type="http://schemas.openxmlformats.org/officeDocument/2006/relationships/printerSettings" Target="../printerSettings/printerSettings220.bin"/><Relationship Id="rId4" Type="http://schemas.openxmlformats.org/officeDocument/2006/relationships/printerSettings" Target="../printerSettings/printerSettings214.bin"/><Relationship Id="rId9" Type="http://schemas.openxmlformats.org/officeDocument/2006/relationships/printerSettings" Target="../printerSettings/printerSettings219.bin"/><Relationship Id="rId14" Type="http://schemas.openxmlformats.org/officeDocument/2006/relationships/printerSettings" Target="../printerSettings/printerSettings22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2.bin"/><Relationship Id="rId13" Type="http://schemas.openxmlformats.org/officeDocument/2006/relationships/printerSettings" Target="../printerSettings/printerSettings237.bin"/><Relationship Id="rId3" Type="http://schemas.openxmlformats.org/officeDocument/2006/relationships/printerSettings" Target="../printerSettings/printerSettings227.bin"/><Relationship Id="rId7" Type="http://schemas.openxmlformats.org/officeDocument/2006/relationships/printerSettings" Target="../printerSettings/printerSettings231.bin"/><Relationship Id="rId12" Type="http://schemas.openxmlformats.org/officeDocument/2006/relationships/printerSettings" Target="../printerSettings/printerSettings236.bin"/><Relationship Id="rId2" Type="http://schemas.openxmlformats.org/officeDocument/2006/relationships/printerSettings" Target="../printerSettings/printerSettings226.bin"/><Relationship Id="rId1" Type="http://schemas.openxmlformats.org/officeDocument/2006/relationships/printerSettings" Target="../printerSettings/printerSettings225.bin"/><Relationship Id="rId6" Type="http://schemas.openxmlformats.org/officeDocument/2006/relationships/printerSettings" Target="../printerSettings/printerSettings230.bin"/><Relationship Id="rId11" Type="http://schemas.openxmlformats.org/officeDocument/2006/relationships/printerSettings" Target="../printerSettings/printerSettings235.bin"/><Relationship Id="rId5" Type="http://schemas.openxmlformats.org/officeDocument/2006/relationships/printerSettings" Target="../printerSettings/printerSettings229.bin"/><Relationship Id="rId10" Type="http://schemas.openxmlformats.org/officeDocument/2006/relationships/printerSettings" Target="../printerSettings/printerSettings234.bin"/><Relationship Id="rId4" Type="http://schemas.openxmlformats.org/officeDocument/2006/relationships/printerSettings" Target="../printerSettings/printerSettings228.bin"/><Relationship Id="rId9" Type="http://schemas.openxmlformats.org/officeDocument/2006/relationships/printerSettings" Target="../printerSettings/printerSettings233.bin"/><Relationship Id="rId14" Type="http://schemas.openxmlformats.org/officeDocument/2006/relationships/printerSettings" Target="../printerSettings/printerSettings23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6.bin"/><Relationship Id="rId13" Type="http://schemas.openxmlformats.org/officeDocument/2006/relationships/printerSettings" Target="../printerSettings/printerSettings251.bin"/><Relationship Id="rId3" Type="http://schemas.openxmlformats.org/officeDocument/2006/relationships/printerSettings" Target="../printerSettings/printerSettings241.bin"/><Relationship Id="rId7" Type="http://schemas.openxmlformats.org/officeDocument/2006/relationships/printerSettings" Target="../printerSettings/printerSettings245.bin"/><Relationship Id="rId12" Type="http://schemas.openxmlformats.org/officeDocument/2006/relationships/printerSettings" Target="../printerSettings/printerSettings250.bin"/><Relationship Id="rId2" Type="http://schemas.openxmlformats.org/officeDocument/2006/relationships/printerSettings" Target="../printerSettings/printerSettings240.bin"/><Relationship Id="rId1" Type="http://schemas.openxmlformats.org/officeDocument/2006/relationships/printerSettings" Target="../printerSettings/printerSettings239.bin"/><Relationship Id="rId6" Type="http://schemas.openxmlformats.org/officeDocument/2006/relationships/printerSettings" Target="../printerSettings/printerSettings244.bin"/><Relationship Id="rId11" Type="http://schemas.openxmlformats.org/officeDocument/2006/relationships/printerSettings" Target="../printerSettings/printerSettings249.bin"/><Relationship Id="rId5" Type="http://schemas.openxmlformats.org/officeDocument/2006/relationships/printerSettings" Target="../printerSettings/printerSettings243.bin"/><Relationship Id="rId10" Type="http://schemas.openxmlformats.org/officeDocument/2006/relationships/printerSettings" Target="../printerSettings/printerSettings248.bin"/><Relationship Id="rId4" Type="http://schemas.openxmlformats.org/officeDocument/2006/relationships/printerSettings" Target="../printerSettings/printerSettings242.bin"/><Relationship Id="rId9" Type="http://schemas.openxmlformats.org/officeDocument/2006/relationships/printerSettings" Target="../printerSettings/printerSettings247.bin"/><Relationship Id="rId14" Type="http://schemas.openxmlformats.org/officeDocument/2006/relationships/printerSettings" Target="../printerSettings/printerSettings25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0.bin"/><Relationship Id="rId13" Type="http://schemas.openxmlformats.org/officeDocument/2006/relationships/printerSettings" Target="../printerSettings/printerSettings265.bin"/><Relationship Id="rId3" Type="http://schemas.openxmlformats.org/officeDocument/2006/relationships/printerSettings" Target="../printerSettings/printerSettings255.bin"/><Relationship Id="rId7" Type="http://schemas.openxmlformats.org/officeDocument/2006/relationships/printerSettings" Target="../printerSettings/printerSettings259.bin"/><Relationship Id="rId12" Type="http://schemas.openxmlformats.org/officeDocument/2006/relationships/printerSettings" Target="../printerSettings/printerSettings264.bin"/><Relationship Id="rId2" Type="http://schemas.openxmlformats.org/officeDocument/2006/relationships/printerSettings" Target="../printerSettings/printerSettings254.bin"/><Relationship Id="rId1" Type="http://schemas.openxmlformats.org/officeDocument/2006/relationships/printerSettings" Target="../printerSettings/printerSettings253.bin"/><Relationship Id="rId6" Type="http://schemas.openxmlformats.org/officeDocument/2006/relationships/printerSettings" Target="../printerSettings/printerSettings258.bin"/><Relationship Id="rId11" Type="http://schemas.openxmlformats.org/officeDocument/2006/relationships/printerSettings" Target="../printerSettings/printerSettings263.bin"/><Relationship Id="rId5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62.bin"/><Relationship Id="rId4" Type="http://schemas.openxmlformats.org/officeDocument/2006/relationships/printerSettings" Target="../printerSettings/printerSettings256.bin"/><Relationship Id="rId9" Type="http://schemas.openxmlformats.org/officeDocument/2006/relationships/printerSettings" Target="../printerSettings/printerSettings261.bin"/><Relationship Id="rId14" Type="http://schemas.openxmlformats.org/officeDocument/2006/relationships/printerSettings" Target="../printerSettings/printerSettings266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4.bin"/><Relationship Id="rId13" Type="http://schemas.openxmlformats.org/officeDocument/2006/relationships/printerSettings" Target="../printerSettings/printerSettings279.bin"/><Relationship Id="rId3" Type="http://schemas.openxmlformats.org/officeDocument/2006/relationships/printerSettings" Target="../printerSettings/printerSettings269.bin"/><Relationship Id="rId7" Type="http://schemas.openxmlformats.org/officeDocument/2006/relationships/printerSettings" Target="../printerSettings/printerSettings273.bin"/><Relationship Id="rId12" Type="http://schemas.openxmlformats.org/officeDocument/2006/relationships/printerSettings" Target="../printerSettings/printerSettings278.bin"/><Relationship Id="rId2" Type="http://schemas.openxmlformats.org/officeDocument/2006/relationships/printerSettings" Target="../printerSettings/printerSettings268.bin"/><Relationship Id="rId1" Type="http://schemas.openxmlformats.org/officeDocument/2006/relationships/printerSettings" Target="../printerSettings/printerSettings267.bin"/><Relationship Id="rId6" Type="http://schemas.openxmlformats.org/officeDocument/2006/relationships/printerSettings" Target="../printerSettings/printerSettings272.bin"/><Relationship Id="rId11" Type="http://schemas.openxmlformats.org/officeDocument/2006/relationships/printerSettings" Target="../printerSettings/printerSettings277.bin"/><Relationship Id="rId5" Type="http://schemas.openxmlformats.org/officeDocument/2006/relationships/printerSettings" Target="../printerSettings/printerSettings271.bin"/><Relationship Id="rId10" Type="http://schemas.openxmlformats.org/officeDocument/2006/relationships/printerSettings" Target="../printerSettings/printerSettings276.bin"/><Relationship Id="rId4" Type="http://schemas.openxmlformats.org/officeDocument/2006/relationships/printerSettings" Target="../printerSettings/printerSettings270.bin"/><Relationship Id="rId9" Type="http://schemas.openxmlformats.org/officeDocument/2006/relationships/printerSettings" Target="../printerSettings/printerSettings27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2.bin"/><Relationship Id="rId2" Type="http://schemas.openxmlformats.org/officeDocument/2006/relationships/printerSettings" Target="../printerSettings/printerSettings281.bin"/><Relationship Id="rId1" Type="http://schemas.openxmlformats.org/officeDocument/2006/relationships/printerSettings" Target="../printerSettings/printerSettings28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4.bin"/><Relationship Id="rId1" Type="http://schemas.openxmlformats.org/officeDocument/2006/relationships/printerSettings" Target="../printerSettings/printerSettings28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6.bin"/><Relationship Id="rId1" Type="http://schemas.openxmlformats.org/officeDocument/2006/relationships/printerSettings" Target="../printerSettings/printerSettings28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13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12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1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Relationship Id="rId14" Type="http://schemas.openxmlformats.org/officeDocument/2006/relationships/printerSettings" Target="../printerSettings/printerSettings8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13" Type="http://schemas.openxmlformats.org/officeDocument/2006/relationships/printerSettings" Target="../printerSettings/printerSettings111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5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108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56"/>
  <sheetViews>
    <sheetView view="pageBreakPreview" topLeftCell="A22" zoomScale="80" zoomScaleNormal="100" zoomScaleSheetLayoutView="80" workbookViewId="0">
      <selection activeCell="G10" sqref="G10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8.28515625" style="74" customWidth="1"/>
    <col min="9" max="9" width="23.5703125" style="74" customWidth="1"/>
    <col min="10" max="10" width="12" style="74" customWidth="1"/>
    <col min="11" max="16384" width="9.140625" style="74"/>
  </cols>
  <sheetData>
    <row r="1" spans="1:12" ht="26.25" customHeight="1">
      <c r="A1" s="588" t="s">
        <v>438</v>
      </c>
      <c r="B1" s="588"/>
      <c r="C1" s="588"/>
      <c r="D1" s="588"/>
      <c r="E1" s="588"/>
      <c r="F1" s="588"/>
      <c r="G1" s="588"/>
      <c r="H1" s="588"/>
      <c r="I1" s="121"/>
      <c r="J1" s="121"/>
      <c r="K1" s="121"/>
      <c r="L1" s="121"/>
    </row>
    <row r="2" spans="1:12" ht="33.75" customHeight="1">
      <c r="A2" s="586" t="s">
        <v>173</v>
      </c>
      <c r="B2" s="587" t="s">
        <v>174</v>
      </c>
      <c r="C2" s="583" t="s">
        <v>175</v>
      </c>
      <c r="D2" s="584"/>
      <c r="E2" s="584"/>
      <c r="F2" s="583" t="s">
        <v>176</v>
      </c>
      <c r="G2" s="584"/>
      <c r="H2" s="584"/>
    </row>
    <row r="3" spans="1:12" ht="53.25" customHeight="1">
      <c r="A3" s="586"/>
      <c r="B3" s="587"/>
      <c r="C3" s="77" t="s">
        <v>439</v>
      </c>
      <c r="D3" s="77" t="s">
        <v>432</v>
      </c>
      <c r="E3" s="135" t="s">
        <v>308</v>
      </c>
      <c r="F3" s="77" t="s">
        <v>439</v>
      </c>
      <c r="G3" s="77" t="s">
        <v>432</v>
      </c>
      <c r="H3" s="135" t="s">
        <v>308</v>
      </c>
    </row>
    <row r="4" spans="1:12" s="79" customFormat="1" ht="30.75" customHeight="1">
      <c r="A4" s="78" t="s">
        <v>4</v>
      </c>
      <c r="B4" s="75"/>
      <c r="C4" s="194">
        <f>SUM(C5:C13)</f>
        <v>331080.3</v>
      </c>
      <c r="D4" s="194">
        <f>SUM(D5:D13)</f>
        <v>335167.32850000006</v>
      </c>
      <c r="E4" s="194">
        <f>D4/C4*100</f>
        <v>101.23445233678963</v>
      </c>
      <c r="F4" s="194">
        <f>SUM(F5:F13)</f>
        <v>331080.3</v>
      </c>
      <c r="G4" s="194">
        <f>SUM(G5:G13)</f>
        <v>335167.32850000006</v>
      </c>
      <c r="H4" s="194">
        <f>G4/F4*100</f>
        <v>101.23445233678963</v>
      </c>
    </row>
    <row r="5" spans="1:12" ht="27" customHeight="1">
      <c r="A5" s="80" t="s">
        <v>177</v>
      </c>
      <c r="B5" s="76">
        <v>10102</v>
      </c>
      <c r="C5" s="195">
        <f>F5</f>
        <v>218789.1</v>
      </c>
      <c r="D5" s="195">
        <f>G5</f>
        <v>220064.52415000001</v>
      </c>
      <c r="E5" s="196">
        <f t="shared" ref="E5:E12" si="0">D5/C5*100</f>
        <v>100.58294684241582</v>
      </c>
      <c r="F5" s="195">
        <f>район!C6</f>
        <v>218789.1</v>
      </c>
      <c r="G5" s="195">
        <f>район!D6</f>
        <v>220064.52415000001</v>
      </c>
      <c r="H5" s="196">
        <f t="shared" ref="H5:H43" si="1">G5/F5*100</f>
        <v>100.58294684241582</v>
      </c>
    </row>
    <row r="6" spans="1:12" ht="41.25" customHeight="1">
      <c r="A6" s="80" t="s">
        <v>262</v>
      </c>
      <c r="B6" s="76">
        <v>10300</v>
      </c>
      <c r="C6" s="195">
        <f t="shared" ref="C6:C13" si="2">F6</f>
        <v>20878.5</v>
      </c>
      <c r="D6" s="195">
        <f t="shared" ref="D6:D13" si="3">G6</f>
        <v>21323.13882</v>
      </c>
      <c r="E6" s="196">
        <f t="shared" si="0"/>
        <v>102.12964925641211</v>
      </c>
      <c r="F6" s="195">
        <f>район!C8</f>
        <v>20878.5</v>
      </c>
      <c r="G6" s="195">
        <f>район!D8</f>
        <v>21323.13882</v>
      </c>
      <c r="H6" s="196">
        <f t="shared" si="1"/>
        <v>102.12964925641211</v>
      </c>
    </row>
    <row r="7" spans="1:12" ht="19.5" customHeight="1">
      <c r="A7" s="80" t="s">
        <v>178</v>
      </c>
      <c r="B7" s="76">
        <v>10500</v>
      </c>
      <c r="C7" s="195">
        <f t="shared" si="2"/>
        <v>59550</v>
      </c>
      <c r="D7" s="195">
        <f t="shared" si="3"/>
        <v>60213.865669999999</v>
      </c>
      <c r="E7" s="196">
        <f t="shared" si="0"/>
        <v>101.11480381192276</v>
      </c>
      <c r="F7" s="195">
        <f>район!C13</f>
        <v>59550</v>
      </c>
      <c r="G7" s="195">
        <f>район!D13</f>
        <v>60213.865669999999</v>
      </c>
      <c r="H7" s="196">
        <f t="shared" si="1"/>
        <v>101.11480381192276</v>
      </c>
    </row>
    <row r="8" spans="1:12" ht="19.5" customHeight="1">
      <c r="A8" s="80" t="s">
        <v>179</v>
      </c>
      <c r="B8" s="76">
        <v>10601</v>
      </c>
      <c r="C8" s="195">
        <f t="shared" si="2"/>
        <v>7500</v>
      </c>
      <c r="D8" s="195">
        <f t="shared" si="3"/>
        <v>8134.54342</v>
      </c>
      <c r="E8" s="196">
        <f t="shared" si="0"/>
        <v>108.46057893333334</v>
      </c>
      <c r="F8" s="195">
        <f>SUM(район!C19)</f>
        <v>7500</v>
      </c>
      <c r="G8" s="195">
        <f>SUM(район!D19)</f>
        <v>8134.54342</v>
      </c>
      <c r="H8" s="196"/>
    </row>
    <row r="9" spans="1:12" ht="19.5" customHeight="1">
      <c r="A9" s="80" t="s">
        <v>263</v>
      </c>
      <c r="B9" s="76">
        <v>10604</v>
      </c>
      <c r="C9" s="195">
        <f t="shared" si="2"/>
        <v>2952.7</v>
      </c>
      <c r="D9" s="195">
        <f t="shared" si="3"/>
        <v>3179.7681600000001</v>
      </c>
      <c r="E9" s="196">
        <f t="shared" si="0"/>
        <v>107.69018728621262</v>
      </c>
      <c r="F9" s="195">
        <f>SUM(район!C20)</f>
        <v>2952.7</v>
      </c>
      <c r="G9" s="195">
        <f>район!D20</f>
        <v>3179.7681600000001</v>
      </c>
      <c r="H9" s="196">
        <f t="shared" si="1"/>
        <v>107.69018728621262</v>
      </c>
    </row>
    <row r="10" spans="1:12" ht="19.5" customHeight="1">
      <c r="A10" s="80" t="s">
        <v>180</v>
      </c>
      <c r="B10" s="76">
        <v>10606</v>
      </c>
      <c r="C10" s="195">
        <f t="shared" si="2"/>
        <v>16500</v>
      </c>
      <c r="D10" s="195">
        <f t="shared" si="3"/>
        <v>16694.274870000001</v>
      </c>
      <c r="E10" s="196">
        <f t="shared" si="0"/>
        <v>101.17742345454546</v>
      </c>
      <c r="F10" s="195">
        <f>SUM(район!C23)</f>
        <v>16500</v>
      </c>
      <c r="G10" s="195">
        <f>SUM(район!D23)</f>
        <v>16694.274870000001</v>
      </c>
      <c r="H10" s="196">
        <v>0</v>
      </c>
    </row>
    <row r="11" spans="1:12" ht="33.75" customHeight="1">
      <c r="A11" s="80" t="s">
        <v>181</v>
      </c>
      <c r="B11" s="76">
        <v>10701</v>
      </c>
      <c r="C11" s="195">
        <f t="shared" si="2"/>
        <v>500</v>
      </c>
      <c r="D11" s="195">
        <f t="shared" si="3"/>
        <v>489.86200000000002</v>
      </c>
      <c r="E11" s="196">
        <f t="shared" si="0"/>
        <v>97.972400000000007</v>
      </c>
      <c r="F11" s="195">
        <f>район!C26</f>
        <v>500</v>
      </c>
      <c r="G11" s="195">
        <f>район!D26</f>
        <v>489.86200000000002</v>
      </c>
      <c r="H11" s="196">
        <f t="shared" si="1"/>
        <v>97.972400000000007</v>
      </c>
    </row>
    <row r="12" spans="1:12" ht="19.5" customHeight="1">
      <c r="A12" s="80" t="s">
        <v>182</v>
      </c>
      <c r="B12" s="76">
        <v>10800</v>
      </c>
      <c r="C12" s="195">
        <f t="shared" si="2"/>
        <v>4410</v>
      </c>
      <c r="D12" s="195">
        <f t="shared" si="3"/>
        <v>5067.3514099999993</v>
      </c>
      <c r="E12" s="196">
        <f t="shared" si="0"/>
        <v>114.90592766439909</v>
      </c>
      <c r="F12" s="195">
        <f>район!C28</f>
        <v>4410</v>
      </c>
      <c r="G12" s="195">
        <f>район!D28</f>
        <v>5067.3514099999993</v>
      </c>
      <c r="H12" s="196">
        <f t="shared" si="1"/>
        <v>114.90592766439909</v>
      </c>
    </row>
    <row r="13" spans="1:12" ht="19.5" customHeight="1">
      <c r="A13" s="80" t="s">
        <v>183</v>
      </c>
      <c r="B13" s="76">
        <v>10900</v>
      </c>
      <c r="C13" s="195">
        <f t="shared" si="2"/>
        <v>0</v>
      </c>
      <c r="D13" s="195">
        <f t="shared" si="3"/>
        <v>0</v>
      </c>
      <c r="E13" s="196"/>
      <c r="F13" s="195">
        <f>район!C32</f>
        <v>0</v>
      </c>
      <c r="G13" s="195">
        <f>район!D32</f>
        <v>0</v>
      </c>
      <c r="H13" s="196"/>
    </row>
    <row r="14" spans="1:12" s="79" customFormat="1" ht="20.25" customHeight="1">
      <c r="A14" s="78" t="s">
        <v>12</v>
      </c>
      <c r="B14" s="75"/>
      <c r="C14" s="194">
        <f>SUM(C15:C21)</f>
        <v>52913.148079999999</v>
      </c>
      <c r="D14" s="194">
        <f>SUM(D15:D21)</f>
        <v>57220.632250000002</v>
      </c>
      <c r="E14" s="194">
        <f t="shared" ref="E14:E41" si="4">D14/C14*100</f>
        <v>108.14066886265672</v>
      </c>
      <c r="F14" s="194">
        <f>F15+F16+F17+F18+F20+F21+F19</f>
        <v>52913.148079999999</v>
      </c>
      <c r="G14" s="194">
        <f>G15+G16+G17+G18+G20+G21+G19</f>
        <v>57220.632250000002</v>
      </c>
      <c r="H14" s="194">
        <f t="shared" si="1"/>
        <v>108.14066886265672</v>
      </c>
    </row>
    <row r="15" spans="1:12" ht="52.5" customHeight="1">
      <c r="A15" s="80" t="s">
        <v>184</v>
      </c>
      <c r="B15" s="76">
        <v>11100</v>
      </c>
      <c r="C15" s="195">
        <f>F15</f>
        <v>13920</v>
      </c>
      <c r="D15" s="195">
        <f>G15</f>
        <v>18141.532750000002</v>
      </c>
      <c r="E15" s="195">
        <f t="shared" si="4"/>
        <v>130.32710308908045</v>
      </c>
      <c r="F15" s="195">
        <f>район!C38</f>
        <v>13920</v>
      </c>
      <c r="G15" s="195">
        <f>район!D38</f>
        <v>18141.532750000002</v>
      </c>
      <c r="H15" s="195">
        <f t="shared" si="1"/>
        <v>130.32710308908045</v>
      </c>
    </row>
    <row r="16" spans="1:12" ht="33" customHeight="1">
      <c r="A16" s="80" t="s">
        <v>185</v>
      </c>
      <c r="B16" s="76">
        <v>11200</v>
      </c>
      <c r="C16" s="195">
        <f t="shared" ref="C16:C22" si="5">F16</f>
        <v>1301</v>
      </c>
      <c r="D16" s="195">
        <f t="shared" ref="D16:D21" si="6">G16</f>
        <v>1295.29475</v>
      </c>
      <c r="E16" s="195">
        <f t="shared" si="4"/>
        <v>99.561471944657953</v>
      </c>
      <c r="F16" s="195">
        <f>район!C48</f>
        <v>1301</v>
      </c>
      <c r="G16" s="195">
        <f>район!D48</f>
        <v>1295.29475</v>
      </c>
      <c r="H16" s="195">
        <f t="shared" si="1"/>
        <v>99.561471944657953</v>
      </c>
    </row>
    <row r="17" spans="1:10" ht="33" customHeight="1">
      <c r="A17" s="80" t="s">
        <v>186</v>
      </c>
      <c r="B17" s="76">
        <v>11300</v>
      </c>
      <c r="C17" s="195">
        <f t="shared" si="5"/>
        <v>5676.9</v>
      </c>
      <c r="D17" s="195">
        <f t="shared" si="6"/>
        <v>5772.0849099999996</v>
      </c>
      <c r="E17" s="195">
        <f>D17/C17*100</f>
        <v>101.67670577251668</v>
      </c>
      <c r="F17" s="195">
        <f>район!C50</f>
        <v>5676.9</v>
      </c>
      <c r="G17" s="195">
        <f>район!D50</f>
        <v>5772.0849099999996</v>
      </c>
      <c r="H17" s="195">
        <f t="shared" si="1"/>
        <v>101.67670577251668</v>
      </c>
    </row>
    <row r="18" spans="1:10" ht="33" customHeight="1">
      <c r="A18" s="80" t="s">
        <v>187</v>
      </c>
      <c r="B18" s="76">
        <v>11400</v>
      </c>
      <c r="C18" s="195">
        <f t="shared" si="5"/>
        <v>13850</v>
      </c>
      <c r="D18" s="195">
        <f t="shared" si="6"/>
        <v>13942.352839999998</v>
      </c>
      <c r="E18" s="195">
        <f t="shared" si="4"/>
        <v>100.66680750902526</v>
      </c>
      <c r="F18" s="195">
        <f>район!C53</f>
        <v>13850</v>
      </c>
      <c r="G18" s="195">
        <f>район!D53</f>
        <v>13942.352839999998</v>
      </c>
      <c r="H18" s="195">
        <f t="shared" si="1"/>
        <v>100.66680750902526</v>
      </c>
    </row>
    <row r="19" spans="1:10" ht="23.25" customHeight="1">
      <c r="A19" s="80" t="s">
        <v>235</v>
      </c>
      <c r="B19" s="76">
        <v>11500</v>
      </c>
      <c r="C19" s="195">
        <f t="shared" si="5"/>
        <v>0</v>
      </c>
      <c r="D19" s="195">
        <f t="shared" si="6"/>
        <v>8229.2352300000002</v>
      </c>
      <c r="E19" s="195"/>
      <c r="F19" s="195">
        <f>район!C57</f>
        <v>0</v>
      </c>
      <c r="G19" s="195">
        <f>район!D65</f>
        <v>8229.2352300000002</v>
      </c>
      <c r="H19" s="195"/>
    </row>
    <row r="20" spans="1:10" ht="22.5" customHeight="1">
      <c r="A20" s="80" t="s">
        <v>188</v>
      </c>
      <c r="B20" s="76">
        <v>11600</v>
      </c>
      <c r="C20" s="195">
        <f t="shared" si="5"/>
        <v>9549</v>
      </c>
      <c r="D20" s="195">
        <f t="shared" si="6"/>
        <v>9840.13177</v>
      </c>
      <c r="E20" s="195">
        <f t="shared" si="4"/>
        <v>103.04881945753482</v>
      </c>
      <c r="F20" s="195">
        <f>район!C59</f>
        <v>9549</v>
      </c>
      <c r="G20" s="195">
        <f>район!D59</f>
        <v>9840.13177</v>
      </c>
      <c r="H20" s="195">
        <f t="shared" si="1"/>
        <v>103.04881945753482</v>
      </c>
    </row>
    <row r="21" spans="1:10" ht="29.25" customHeight="1">
      <c r="A21" s="80" t="s">
        <v>189</v>
      </c>
      <c r="B21" s="76">
        <v>11700</v>
      </c>
      <c r="C21" s="195">
        <f t="shared" si="5"/>
        <v>8616.2480800000012</v>
      </c>
      <c r="D21" s="195">
        <f t="shared" si="6"/>
        <v>0</v>
      </c>
      <c r="E21" s="195"/>
      <c r="F21" s="195">
        <f>район!C65</f>
        <v>8616.2480800000012</v>
      </c>
      <c r="G21" s="411"/>
      <c r="H21" s="195"/>
    </row>
    <row r="22" spans="1:10" ht="28.5" customHeight="1">
      <c r="A22" s="78" t="s">
        <v>190</v>
      </c>
      <c r="B22" s="75">
        <v>30000</v>
      </c>
      <c r="C22" s="395">
        <f t="shared" si="5"/>
        <v>0</v>
      </c>
      <c r="D22" s="194">
        <f>G22</f>
        <v>0</v>
      </c>
      <c r="E22" s="194"/>
      <c r="F22" s="194">
        <v>0</v>
      </c>
      <c r="G22" s="194">
        <v>0</v>
      </c>
      <c r="H22" s="194"/>
    </row>
    <row r="23" spans="1:10" ht="29.25" customHeight="1">
      <c r="A23" s="78" t="s">
        <v>16</v>
      </c>
      <c r="B23" s="75">
        <v>10000</v>
      </c>
      <c r="C23" s="197">
        <f>SUM(C4,C14,C22,)</f>
        <v>383993.44808</v>
      </c>
      <c r="D23" s="424">
        <f>SUM(D4,D14,)</f>
        <v>392387.96075000009</v>
      </c>
      <c r="E23" s="194">
        <f t="shared" si="4"/>
        <v>102.18610830783008</v>
      </c>
      <c r="F23" s="197">
        <f>SUM(F4,F14,)</f>
        <v>383993.44808</v>
      </c>
      <c r="G23" s="423">
        <f>SUM(G4,G14,G22)</f>
        <v>392387.96075000009</v>
      </c>
      <c r="H23" s="194">
        <f t="shared" si="1"/>
        <v>102.18610830783008</v>
      </c>
    </row>
    <row r="24" spans="1:10" ht="32.25" customHeight="1">
      <c r="A24" s="78" t="s">
        <v>191</v>
      </c>
      <c r="B24" s="75">
        <v>20200</v>
      </c>
      <c r="C24" s="198">
        <v>717224.66131</v>
      </c>
      <c r="D24" s="198">
        <v>-46567.792430000001</v>
      </c>
      <c r="E24" s="197">
        <f t="shared" si="4"/>
        <v>-6.4927762446071817</v>
      </c>
      <c r="F24" s="197">
        <f>район!C69</f>
        <v>1107342.3839699998</v>
      </c>
      <c r="G24" s="197">
        <f>район!D69</f>
        <v>1089111.3033699999</v>
      </c>
      <c r="H24" s="196">
        <f t="shared" si="1"/>
        <v>98.353618459483272</v>
      </c>
    </row>
    <row r="25" spans="1:10" ht="33" customHeight="1">
      <c r="A25" s="78" t="s">
        <v>281</v>
      </c>
      <c r="B25" s="75">
        <v>20700</v>
      </c>
      <c r="C25" s="410">
        <f>F25</f>
        <v>0</v>
      </c>
      <c r="D25" s="199">
        <f>SUM(G25)</f>
        <v>0</v>
      </c>
      <c r="E25" s="195" t="e">
        <f t="shared" si="4"/>
        <v>#DIV/0!</v>
      </c>
      <c r="F25" s="195">
        <v>0</v>
      </c>
      <c r="G25" s="195">
        <v>0</v>
      </c>
      <c r="H25" s="196"/>
    </row>
    <row r="26" spans="1:10" ht="50.25" customHeight="1">
      <c r="A26" s="78" t="s">
        <v>401</v>
      </c>
      <c r="B26" s="407">
        <v>20800</v>
      </c>
      <c r="C26" s="410">
        <f>F26</f>
        <v>0</v>
      </c>
      <c r="D26" s="199">
        <f>район!D75</f>
        <v>0</v>
      </c>
      <c r="E26" s="197" t="e">
        <f t="shared" si="4"/>
        <v>#DIV/0!</v>
      </c>
      <c r="F26" s="195">
        <v>0</v>
      </c>
      <c r="G26" s="195">
        <v>0</v>
      </c>
      <c r="H26" s="196"/>
    </row>
    <row r="27" spans="1:10" ht="50.25" customHeight="1">
      <c r="A27" s="78" t="s">
        <v>396</v>
      </c>
      <c r="B27" s="398">
        <v>21800</v>
      </c>
      <c r="C27" s="199">
        <v>0</v>
      </c>
      <c r="D27" s="199">
        <f>SUM(район!D76)</f>
        <v>0</v>
      </c>
      <c r="E27" s="197"/>
      <c r="F27" s="195">
        <v>0</v>
      </c>
      <c r="G27" s="195">
        <v>0</v>
      </c>
      <c r="H27" s="196"/>
    </row>
    <row r="28" spans="1:10" ht="33" customHeight="1">
      <c r="A28" s="78" t="s">
        <v>246</v>
      </c>
      <c r="B28" s="76">
        <v>21900</v>
      </c>
      <c r="C28" s="199">
        <f>F28</f>
        <v>0</v>
      </c>
      <c r="D28" s="199">
        <v>-87055.707250000007</v>
      </c>
      <c r="E28" s="197"/>
      <c r="F28" s="196">
        <f>район!C77</f>
        <v>0</v>
      </c>
      <c r="G28" s="196">
        <f>район!D77</f>
        <v>-13766.92851</v>
      </c>
      <c r="H28" s="194"/>
      <c r="I28" s="82"/>
    </row>
    <row r="29" spans="1:10" ht="29.25" customHeight="1">
      <c r="A29" s="75" t="s">
        <v>192</v>
      </c>
      <c r="B29" s="75"/>
      <c r="C29" s="200">
        <f>C24+C23+C28+C25</f>
        <v>1101218.1093899999</v>
      </c>
      <c r="D29" s="422">
        <f>D24+D23+D25+D27+D26</f>
        <v>345820.16832000006</v>
      </c>
      <c r="E29" s="200">
        <f t="shared" si="4"/>
        <v>31.403421844520967</v>
      </c>
      <c r="F29" s="200">
        <f>F24+F23</f>
        <v>1491335.8320499999</v>
      </c>
      <c r="G29" s="422">
        <f>G24+G23+G26</f>
        <v>1481499.2641199999</v>
      </c>
      <c r="H29" s="200">
        <f t="shared" si="1"/>
        <v>99.340418990907068</v>
      </c>
      <c r="I29" s="94"/>
      <c r="J29" s="82"/>
    </row>
    <row r="30" spans="1:10" ht="29.25" customHeight="1">
      <c r="A30" s="75" t="s">
        <v>193</v>
      </c>
      <c r="B30" s="75"/>
      <c r="C30" s="200">
        <f>C31+C32+C33+C34+C35+C36+C37+C38+C39+C43+C40+C41+C42</f>
        <v>1304486.17503</v>
      </c>
      <c r="D30" s="200">
        <f>SUM(D31:D43)</f>
        <v>917173.1648100001</v>
      </c>
      <c r="E30" s="200">
        <f t="shared" si="4"/>
        <v>70.309151784525994</v>
      </c>
      <c r="F30" s="200" t="e">
        <f>SUM(F31+F32+F33+F34+F35+F36+F37+F38+F39+F40+F41+F42+F43)</f>
        <v>#REF!</v>
      </c>
      <c r="G30" s="200" t="e">
        <f>SUM(G31:G43)</f>
        <v>#REF!</v>
      </c>
      <c r="H30" s="200" t="e">
        <f t="shared" si="1"/>
        <v>#REF!</v>
      </c>
      <c r="I30" s="94"/>
    </row>
    <row r="31" spans="1:10" ht="30.75" customHeight="1">
      <c r="A31" s="80" t="s">
        <v>194</v>
      </c>
      <c r="B31" s="81" t="s">
        <v>27</v>
      </c>
      <c r="C31" s="257">
        <f>F31</f>
        <v>170624.61222000001</v>
      </c>
      <c r="D31" s="257">
        <f>G31</f>
        <v>140832.45069999999</v>
      </c>
      <c r="E31" s="202">
        <f t="shared" si="4"/>
        <v>82.539352832880525</v>
      </c>
      <c r="F31" s="195">
        <f>район!C82</f>
        <v>170624.61222000001</v>
      </c>
      <c r="G31" s="202">
        <f>район!D82</f>
        <v>140832.45069999999</v>
      </c>
      <c r="H31" s="203">
        <f t="shared" si="1"/>
        <v>82.539352832880525</v>
      </c>
    </row>
    <row r="32" spans="1:10" ht="30.75" customHeight="1">
      <c r="A32" s="80" t="s">
        <v>195</v>
      </c>
      <c r="B32" s="81" t="s">
        <v>43</v>
      </c>
      <c r="C32" s="257">
        <f t="shared" ref="C32:C33" si="7">F32</f>
        <v>2138.1</v>
      </c>
      <c r="D32" s="257">
        <f t="shared" ref="D32:D33" si="8">G32</f>
        <v>2138.1</v>
      </c>
      <c r="E32" s="202">
        <f t="shared" si="4"/>
        <v>100</v>
      </c>
      <c r="F32" s="195">
        <f>район!C91</f>
        <v>2138.1</v>
      </c>
      <c r="G32" s="202">
        <f>район!D91</f>
        <v>2138.1</v>
      </c>
      <c r="H32" s="203">
        <f t="shared" si="1"/>
        <v>100</v>
      </c>
    </row>
    <row r="33" spans="1:9" ht="33" customHeight="1">
      <c r="A33" s="80" t="s">
        <v>196</v>
      </c>
      <c r="B33" s="81" t="s">
        <v>47</v>
      </c>
      <c r="C33" s="257">
        <f t="shared" si="7"/>
        <v>35121.045050000001</v>
      </c>
      <c r="D33" s="257">
        <f t="shared" si="8"/>
        <v>32879.68</v>
      </c>
      <c r="E33" s="202">
        <f t="shared" si="4"/>
        <v>93.61817096612846</v>
      </c>
      <c r="F33" s="195">
        <f>район!C93</f>
        <v>35121.045050000001</v>
      </c>
      <c r="G33" s="202">
        <f>район!D93</f>
        <v>32879.68</v>
      </c>
      <c r="H33" s="203">
        <f t="shared" si="1"/>
        <v>93.61817096612846</v>
      </c>
    </row>
    <row r="34" spans="1:9" ht="30" customHeight="1">
      <c r="A34" s="80" t="s">
        <v>197</v>
      </c>
      <c r="B34" s="81" t="s">
        <v>55</v>
      </c>
      <c r="C34" s="201">
        <v>119953.70041999999</v>
      </c>
      <c r="D34" s="201">
        <v>12.33</v>
      </c>
      <c r="E34" s="202">
        <f t="shared" si="4"/>
        <v>1.0278965931712271E-2</v>
      </c>
      <c r="F34" s="195">
        <f>район!C98</f>
        <v>184743.08710999999</v>
      </c>
      <c r="G34" s="202">
        <f>район!D98</f>
        <v>161316.53296000001</v>
      </c>
      <c r="H34" s="203">
        <f t="shared" si="1"/>
        <v>87.319387958451017</v>
      </c>
    </row>
    <row r="35" spans="1:9" ht="30" customHeight="1">
      <c r="A35" s="80" t="s">
        <v>198</v>
      </c>
      <c r="B35" s="81" t="s">
        <v>65</v>
      </c>
      <c r="C35" s="201">
        <v>132002.96557</v>
      </c>
      <c r="D35" s="201">
        <v>20.5</v>
      </c>
      <c r="E35" s="202">
        <f t="shared" si="4"/>
        <v>1.5529954127529834E-2</v>
      </c>
      <c r="F35" s="195">
        <f>район!C121</f>
        <v>248847.07369999998</v>
      </c>
      <c r="G35" s="202">
        <f>район!D121</f>
        <v>147205.6783</v>
      </c>
      <c r="H35" s="203">
        <f t="shared" si="1"/>
        <v>59.155077096653045</v>
      </c>
    </row>
    <row r="36" spans="1:9" ht="30" customHeight="1">
      <c r="A36" s="80" t="s">
        <v>199</v>
      </c>
      <c r="B36" s="81" t="s">
        <v>73</v>
      </c>
      <c r="C36" s="199">
        <f>F36</f>
        <v>1661.7170000000001</v>
      </c>
      <c r="D36" s="199">
        <f>G36</f>
        <v>1613.4297200000001</v>
      </c>
      <c r="E36" s="202">
        <f t="shared" si="4"/>
        <v>97.094133357244345</v>
      </c>
      <c r="F36" s="195">
        <f>район!C144</f>
        <v>1661.7170000000001</v>
      </c>
      <c r="G36" s="202">
        <f>район!D144</f>
        <v>1613.4297200000001</v>
      </c>
      <c r="H36" s="203">
        <f t="shared" si="1"/>
        <v>97.094133357244345</v>
      </c>
    </row>
    <row r="37" spans="1:9" ht="30" customHeight="1">
      <c r="A37" s="80" t="s">
        <v>200</v>
      </c>
      <c r="B37" s="81" t="s">
        <v>75</v>
      </c>
      <c r="C37" s="199">
        <f>F37</f>
        <v>741021.99243999994</v>
      </c>
      <c r="D37" s="199">
        <f>G37</f>
        <v>735902.02039000008</v>
      </c>
      <c r="E37" s="202">
        <f t="shared" si="4"/>
        <v>99.309066113794941</v>
      </c>
      <c r="F37" s="195">
        <f>район!C149</f>
        <v>741021.99243999994</v>
      </c>
      <c r="G37" s="202">
        <f>район!D149</f>
        <v>735902.02039000008</v>
      </c>
      <c r="H37" s="203">
        <f t="shared" si="1"/>
        <v>99.309066113794941</v>
      </c>
    </row>
    <row r="38" spans="1:9" ht="30" customHeight="1">
      <c r="A38" s="80" t="s">
        <v>201</v>
      </c>
      <c r="B38" s="81" t="s">
        <v>81</v>
      </c>
      <c r="C38" s="201">
        <v>53583.964</v>
      </c>
      <c r="D38" s="201">
        <v>3468.4</v>
      </c>
      <c r="E38" s="202">
        <f t="shared" si="4"/>
        <v>6.4728320584867518</v>
      </c>
      <c r="F38" s="195">
        <f>район!C172</f>
        <v>134151.72044999999</v>
      </c>
      <c r="G38" s="202">
        <f>район!D172</f>
        <v>112521.59884999999</v>
      </c>
      <c r="H38" s="203">
        <f t="shared" si="1"/>
        <v>83.876374058086114</v>
      </c>
      <c r="I38" s="82"/>
    </row>
    <row r="39" spans="1:9" ht="30" customHeight="1">
      <c r="A39" s="80" t="s">
        <v>202</v>
      </c>
      <c r="B39" s="81" t="s">
        <v>203</v>
      </c>
      <c r="C39" s="201">
        <v>40552.978329999998</v>
      </c>
      <c r="D39" s="201">
        <v>0</v>
      </c>
      <c r="E39" s="202">
        <f t="shared" si="4"/>
        <v>0</v>
      </c>
      <c r="F39" s="195">
        <f>район!C180</f>
        <v>78251.225560000006</v>
      </c>
      <c r="G39" s="202">
        <f>район!D180</f>
        <v>77441.952369999999</v>
      </c>
      <c r="H39" s="203">
        <f t="shared" si="1"/>
        <v>98.965801258435889</v>
      </c>
    </row>
    <row r="40" spans="1:9" ht="30" customHeight="1">
      <c r="A40" s="80" t="s">
        <v>204</v>
      </c>
      <c r="B40" s="81" t="s">
        <v>90</v>
      </c>
      <c r="C40" s="201">
        <v>7825.1</v>
      </c>
      <c r="D40" s="201">
        <v>306.25400000000002</v>
      </c>
      <c r="E40" s="202">
        <f t="shared" si="4"/>
        <v>3.913739121544773</v>
      </c>
      <c r="F40" s="195">
        <f>район!C190</f>
        <v>18371.297380000004</v>
      </c>
      <c r="G40" s="202">
        <f>район!D190</f>
        <v>18370.947380000001</v>
      </c>
      <c r="H40" s="203">
        <f t="shared" si="1"/>
        <v>99.998094854202392</v>
      </c>
    </row>
    <row r="41" spans="1:9" ht="30" customHeight="1">
      <c r="A41" s="80" t="s">
        <v>205</v>
      </c>
      <c r="B41" s="81" t="s">
        <v>102</v>
      </c>
      <c r="C41" s="195">
        <f>F41</f>
        <v>0</v>
      </c>
      <c r="D41" s="195">
        <f>G41</f>
        <v>0</v>
      </c>
      <c r="E41" s="202" t="e">
        <f t="shared" si="4"/>
        <v>#DIV/0!</v>
      </c>
      <c r="F41" s="195">
        <f>район!C196</f>
        <v>0</v>
      </c>
      <c r="G41" s="202">
        <f>район!D196</f>
        <v>0</v>
      </c>
      <c r="H41" s="203" t="e">
        <f t="shared" si="1"/>
        <v>#DIV/0!</v>
      </c>
    </row>
    <row r="42" spans="1:9" ht="34.5" customHeight="1">
      <c r="A42" s="80" t="s">
        <v>206</v>
      </c>
      <c r="B42" s="81" t="s">
        <v>106</v>
      </c>
      <c r="C42" s="195">
        <f>F42</f>
        <v>0</v>
      </c>
      <c r="D42" s="195">
        <f>G42</f>
        <v>0</v>
      </c>
      <c r="E42" s="202"/>
      <c r="F42" s="195">
        <f>район!C198</f>
        <v>0</v>
      </c>
      <c r="G42" s="202">
        <f>район!D198</f>
        <v>0</v>
      </c>
      <c r="H42" s="203">
        <v>0</v>
      </c>
    </row>
    <row r="43" spans="1:9" ht="30" customHeight="1">
      <c r="A43" s="80" t="s">
        <v>207</v>
      </c>
      <c r="B43" s="81" t="s">
        <v>208</v>
      </c>
      <c r="C43" s="195">
        <v>0</v>
      </c>
      <c r="D43" s="195">
        <v>0</v>
      </c>
      <c r="E43" s="202">
        <v>0</v>
      </c>
      <c r="F43" s="195" t="e">
        <f>район!#REF!</f>
        <v>#REF!</v>
      </c>
      <c r="G43" s="202" t="e">
        <f>район!#REF!</f>
        <v>#REF!</v>
      </c>
      <c r="H43" s="203" t="e">
        <f t="shared" si="1"/>
        <v>#REF!</v>
      </c>
    </row>
    <row r="44" spans="1:9">
      <c r="A44" s="137"/>
      <c r="B44" s="138"/>
      <c r="C44" s="136"/>
      <c r="D44" s="136"/>
      <c r="E44" s="136"/>
      <c r="F44" s="136"/>
      <c r="G44" s="136"/>
      <c r="H44" s="136"/>
    </row>
    <row r="45" spans="1:9" hidden="1">
      <c r="A45" s="137"/>
      <c r="B45" s="138"/>
      <c r="C45" s="136">
        <f>C29-C30</f>
        <v>-203268.06564000016</v>
      </c>
      <c r="D45" s="136">
        <f>D29-D30</f>
        <v>-571352.99649000005</v>
      </c>
      <c r="E45" s="136"/>
      <c r="F45" s="136" t="e">
        <f>F29-F30</f>
        <v>#REF!</v>
      </c>
      <c r="G45" s="136" t="e">
        <f>G29-G30</f>
        <v>#REF!</v>
      </c>
      <c r="H45" s="136"/>
    </row>
    <row r="46" spans="1:9" hidden="1">
      <c r="A46" s="137"/>
      <c r="B46" s="138"/>
      <c r="C46" s="136" t="e">
        <f>C45-F46</f>
        <v>#REF!</v>
      </c>
      <c r="D46" s="136" t="e">
        <f>D45-G46</f>
        <v>#REF!</v>
      </c>
      <c r="E46" s="136"/>
      <c r="F46" s="136" t="e">
        <f>F45+#REF!</f>
        <v>#REF!</v>
      </c>
      <c r="G46" s="136" t="e">
        <f>G45+#REF!</f>
        <v>#REF!</v>
      </c>
      <c r="H46" s="136"/>
    </row>
    <row r="47" spans="1:9" ht="20.25" hidden="1" customHeight="1">
      <c r="A47" s="137"/>
      <c r="B47" s="138"/>
      <c r="C47" s="139"/>
      <c r="D47" s="139"/>
      <c r="E47" s="140"/>
      <c r="F47" s="140" t="e">
        <f>C30+F46-C23-C28</f>
        <v>#REF!</v>
      </c>
      <c r="G47" s="140" t="e">
        <f>D30+G46-D23-D28</f>
        <v>#REF!</v>
      </c>
      <c r="H47" s="134"/>
    </row>
    <row r="48" spans="1:9">
      <c r="A48" s="137"/>
      <c r="B48" s="138"/>
      <c r="C48" s="206"/>
      <c r="D48" s="136"/>
      <c r="E48" s="136"/>
      <c r="F48" s="136"/>
      <c r="G48" s="136"/>
      <c r="H48" s="136"/>
    </row>
    <row r="49" spans="1:8">
      <c r="A49" s="137"/>
      <c r="B49" s="138"/>
      <c r="C49" s="136"/>
      <c r="D49" s="136"/>
      <c r="E49" s="136"/>
      <c r="F49" s="136"/>
      <c r="G49" s="136"/>
      <c r="H49" s="136"/>
    </row>
    <row r="50" spans="1:8">
      <c r="A50" s="137"/>
      <c r="B50" s="138"/>
      <c r="C50" s="136"/>
      <c r="D50" s="136"/>
      <c r="E50" s="136"/>
      <c r="F50" s="136"/>
      <c r="G50" s="136"/>
      <c r="H50" s="136"/>
    </row>
    <row r="51" spans="1:8">
      <c r="A51" s="137" t="s">
        <v>114</v>
      </c>
      <c r="B51" s="138"/>
      <c r="C51" s="139"/>
      <c r="D51" s="139"/>
      <c r="E51" s="140"/>
      <c r="F51" s="140"/>
      <c r="G51" s="140"/>
      <c r="H51" s="134"/>
    </row>
    <row r="52" spans="1:8">
      <c r="A52" s="137" t="s">
        <v>209</v>
      </c>
      <c r="B52" s="138"/>
      <c r="C52" s="141" t="s">
        <v>250</v>
      </c>
      <c r="D52" s="585"/>
      <c r="E52" s="585"/>
      <c r="F52" s="142"/>
      <c r="G52" s="140"/>
      <c r="H52" s="134"/>
    </row>
    <row r="53" spans="1:8">
      <c r="C53" s="85"/>
      <c r="D53" s="85"/>
      <c r="F53" s="82"/>
      <c r="G53" s="82"/>
    </row>
    <row r="54" spans="1:8">
      <c r="C54" s="89"/>
      <c r="D54" s="89"/>
      <c r="F54" s="82"/>
      <c r="G54" s="82"/>
    </row>
    <row r="55" spans="1:8">
      <c r="C55" s="97"/>
      <c r="D55" s="82"/>
      <c r="F55" s="82"/>
      <c r="G55" s="82"/>
    </row>
    <row r="56" spans="1:8">
      <c r="C56" s="97"/>
      <c r="D56" s="82"/>
    </row>
  </sheetData>
  <customSheetViews>
    <customSheetView guid="{61528DAC-5C4C-48F4-ADE2-8A724B05A086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A486C6EE-08B2-475E-8DA1-C3C3163412A9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2"/>
    </customSheetView>
    <customSheetView guid="{F1E84C44-1ACD-474A-BDE0-C7088DB6C590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3"/>
    </customSheetView>
    <customSheetView guid="{F85EE840-0C31-454A-8951-832C2E9E0600}" scale="80" showPageBreaks="1" printArea="1" hiddenRows="1" state="hidden" view="pageBreakPreview" topLeftCell="A25">
      <selection activeCell="D73" sqref="D73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4"/>
    </customSheetView>
    <customSheetView guid="{3DCB9AAA-F09C-4EA6-B992-F93E466D374A}" printArea="1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1718F1EE-9F48-4DBE-9531-3B70F9C4A5DD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6"/>
    </customSheetView>
    <customSheetView guid="{B30CE22D-C12F-4E12-8BB9-3AAE0A6991CC}" scale="80" showPageBreaks="1" printArea="1" hiddenRows="1" view="pageBreakPreview">
      <selection activeCell="C23" sqref="C23"/>
      <rowBreaks count="1" manualBreakCount="1">
        <brk id="28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7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8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11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12"/>
    </customSheetView>
    <customSheetView guid="{5C539BE6-C8E0-453F-AB5E-9E58094195EA}" scale="80" showPageBreaks="1" printArea="1" hiddenRows="1" view="pageBreakPreview">
      <selection activeCell="D9" sqref="D9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3"/>
    </customSheetView>
  </customSheetViews>
  <mergeCells count="6">
    <mergeCell ref="C2:E2"/>
    <mergeCell ref="D52:E52"/>
    <mergeCell ref="A2:A3"/>
    <mergeCell ref="B2:B3"/>
    <mergeCell ref="A1:H1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4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31" zoomScale="70" zoomScaleSheetLayoutView="86" workbookViewId="0">
      <selection activeCell="D70" sqref="D7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627" t="s">
        <v>420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5621.4025799999999</v>
      </c>
      <c r="D4" s="5">
        <f>D5+D12+D14+D17+D20+D7</f>
        <v>5234.1957199999997</v>
      </c>
      <c r="E4" s="5">
        <f>SUM(D4/C4*100)</f>
        <v>93.111917275279012</v>
      </c>
      <c r="F4" s="5">
        <f>SUM(D4-C4)</f>
        <v>-387.20686000000023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1630.09545</v>
      </c>
      <c r="E5" s="5">
        <f t="shared" ref="E5:E52" si="0">SUM(D5/C5*100)</f>
        <v>95.662878521126757</v>
      </c>
      <c r="F5" s="5">
        <f t="shared" ref="F5:F52" si="1">SUM(D5-C5)</f>
        <v>-73.904549999999972</v>
      </c>
    </row>
    <row r="6" spans="1:6">
      <c r="A6" s="7">
        <v>1010200001</v>
      </c>
      <c r="B6" s="8" t="s">
        <v>220</v>
      </c>
      <c r="C6" s="9">
        <v>1704</v>
      </c>
      <c r="D6" s="10">
        <v>1630.09545</v>
      </c>
      <c r="E6" s="9">
        <f t="shared" ref="E6:E11" si="2">SUM(D6/C6*100)</f>
        <v>95.662878521126757</v>
      </c>
      <c r="F6" s="9">
        <f t="shared" si="1"/>
        <v>-73.904549999999972</v>
      </c>
    </row>
    <row r="7" spans="1:6" ht="31.5">
      <c r="A7" s="3">
        <v>1030000000</v>
      </c>
      <c r="B7" s="13" t="s">
        <v>259</v>
      </c>
      <c r="C7" s="5">
        <f>C8+C10+C9</f>
        <v>960.31</v>
      </c>
      <c r="D7" s="5">
        <f>D8+D10+D9+D11</f>
        <v>1017.0985899999999</v>
      </c>
      <c r="E7" s="9">
        <f t="shared" si="2"/>
        <v>105.91356853516052</v>
      </c>
      <c r="F7" s="9">
        <f t="shared" si="1"/>
        <v>56.788589999999999</v>
      </c>
    </row>
    <row r="8" spans="1:6">
      <c r="A8" s="7">
        <v>1030223001</v>
      </c>
      <c r="B8" s="8" t="s">
        <v>261</v>
      </c>
      <c r="C8" s="9">
        <v>420.89600000000002</v>
      </c>
      <c r="D8" s="10">
        <v>509.87867</v>
      </c>
      <c r="E8" s="9">
        <f t="shared" si="2"/>
        <v>121.14124866950505</v>
      </c>
      <c r="F8" s="9">
        <f t="shared" si="1"/>
        <v>88.982669999999985</v>
      </c>
    </row>
    <row r="9" spans="1:6">
      <c r="A9" s="7">
        <v>1030224001</v>
      </c>
      <c r="B9" s="8" t="s">
        <v>267</v>
      </c>
      <c r="C9" s="9">
        <v>3.4409999999999998</v>
      </c>
      <c r="D9" s="10">
        <v>2.7541500000000001</v>
      </c>
      <c r="E9" s="9">
        <f t="shared" si="2"/>
        <v>80.039232781168266</v>
      </c>
      <c r="F9" s="9">
        <f t="shared" si="1"/>
        <v>-0.68684999999999974</v>
      </c>
    </row>
    <row r="10" spans="1:6">
      <c r="A10" s="7">
        <v>1030225001</v>
      </c>
      <c r="B10" s="8" t="s">
        <v>260</v>
      </c>
      <c r="C10" s="9">
        <v>535.97299999999996</v>
      </c>
      <c r="D10" s="10">
        <v>562.96364000000005</v>
      </c>
      <c r="E10" s="9">
        <f t="shared" si="2"/>
        <v>105.03582083425846</v>
      </c>
      <c r="F10" s="9">
        <f t="shared" si="1"/>
        <v>26.990640000000099</v>
      </c>
    </row>
    <row r="11" spans="1:6">
      <c r="A11" s="7">
        <v>1030226001</v>
      </c>
      <c r="B11" s="8" t="s">
        <v>270</v>
      </c>
      <c r="C11" s="9">
        <v>0</v>
      </c>
      <c r="D11" s="10">
        <v>-58.497869999999999</v>
      </c>
      <c r="E11" s="9" t="e">
        <f t="shared" si="2"/>
        <v>#DIV/0!</v>
      </c>
      <c r="F11" s="9">
        <f t="shared" si="1"/>
        <v>-58.497869999999999</v>
      </c>
    </row>
    <row r="12" spans="1:6" s="6" customFormat="1">
      <c r="A12" s="68">
        <v>1050000000</v>
      </c>
      <c r="B12" s="67" t="s">
        <v>6</v>
      </c>
      <c r="C12" s="5">
        <f>SUM(C13:C13)</f>
        <v>60</v>
      </c>
      <c r="D12" s="5">
        <f>SUM(D13:D13)</f>
        <v>58.41</v>
      </c>
      <c r="E12" s="5">
        <f t="shared" si="0"/>
        <v>97.35</v>
      </c>
      <c r="F12" s="5">
        <f t="shared" si="1"/>
        <v>-1.5900000000000034</v>
      </c>
    </row>
    <row r="13" spans="1:6" ht="15.75" customHeight="1">
      <c r="A13" s="7">
        <v>1050300000</v>
      </c>
      <c r="B13" s="11" t="s">
        <v>221</v>
      </c>
      <c r="C13" s="12">
        <v>60</v>
      </c>
      <c r="D13" s="10">
        <v>58.41</v>
      </c>
      <c r="E13" s="9">
        <f t="shared" si="0"/>
        <v>97.35</v>
      </c>
      <c r="F13" s="9">
        <f t="shared" si="1"/>
        <v>-1.5900000000000034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2889.09258</v>
      </c>
      <c r="D14" s="5">
        <f>D15+D16</f>
        <v>2524.8916800000002</v>
      </c>
      <c r="E14" s="5">
        <f t="shared" si="0"/>
        <v>87.393934603507944</v>
      </c>
      <c r="F14" s="5">
        <f t="shared" si="1"/>
        <v>-364.20089999999982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581.25049000000001</v>
      </c>
      <c r="E15" s="9">
        <f t="shared" si="0"/>
        <v>58.183232232232228</v>
      </c>
      <c r="F15" s="9">
        <f>SUM(D15-C15)</f>
        <v>-417.74950999999999</v>
      </c>
    </row>
    <row r="16" spans="1:6" ht="15.75" customHeight="1">
      <c r="A16" s="7">
        <v>1060600000</v>
      </c>
      <c r="B16" s="11" t="s">
        <v>7</v>
      </c>
      <c r="C16" s="9">
        <v>1890.09258</v>
      </c>
      <c r="D16" s="10">
        <v>1943.6411900000001</v>
      </c>
      <c r="E16" s="9">
        <f t="shared" si="0"/>
        <v>102.83312101040045</v>
      </c>
      <c r="F16" s="9">
        <f t="shared" si="1"/>
        <v>53.548610000000053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3.7</v>
      </c>
      <c r="E17" s="5">
        <f t="shared" si="0"/>
        <v>46.25</v>
      </c>
      <c r="F17" s="5">
        <f t="shared" si="1"/>
        <v>-4.3</v>
      </c>
    </row>
    <row r="18" spans="1:6" ht="15" customHeight="1">
      <c r="A18" s="7">
        <v>1080400001</v>
      </c>
      <c r="B18" s="8" t="s">
        <v>219</v>
      </c>
      <c r="C18" s="9">
        <v>8</v>
      </c>
      <c r="D18" s="10">
        <v>3.7</v>
      </c>
      <c r="E18" s="9">
        <f t="shared" si="0"/>
        <v>46.25</v>
      </c>
      <c r="F18" s="9">
        <f t="shared" si="1"/>
        <v>-4.3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2266.2399999999998</v>
      </c>
      <c r="D25" s="5">
        <f>D26+D29+D31+D36+D34</f>
        <v>2362.02324</v>
      </c>
      <c r="E25" s="5">
        <f t="shared" si="0"/>
        <v>104.22652675797799</v>
      </c>
      <c r="F25" s="5">
        <f t="shared" si="1"/>
        <v>95.783240000000205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0</v>
      </c>
      <c r="D26" s="5">
        <f>D27+D28</f>
        <v>27.3</v>
      </c>
      <c r="E26" s="5" t="e">
        <f t="shared" si="0"/>
        <v>#DIV/0!</v>
      </c>
      <c r="F26" s="5">
        <f t="shared" si="1"/>
        <v>27.3</v>
      </c>
    </row>
    <row r="27" spans="1:6">
      <c r="A27" s="16">
        <v>1110502000</v>
      </c>
      <c r="B27" s="17" t="s">
        <v>217</v>
      </c>
      <c r="C27" s="12">
        <v>0</v>
      </c>
      <c r="D27" s="10">
        <v>27.3</v>
      </c>
      <c r="E27" s="9" t="e">
        <f t="shared" si="0"/>
        <v>#DIV/0!</v>
      </c>
      <c r="F27" s="9">
        <f t="shared" si="1"/>
        <v>27.3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124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399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125</v>
      </c>
      <c r="C31" s="5">
        <f>C32+C33</f>
        <v>1366.24</v>
      </c>
      <c r="D31" s="5">
        <f>D32+D33</f>
        <v>1366.24</v>
      </c>
      <c r="E31" s="5">
        <f t="shared" si="0"/>
        <v>100</v>
      </c>
      <c r="F31" s="5">
        <f t="shared" si="1"/>
        <v>0</v>
      </c>
    </row>
    <row r="32" spans="1:6" ht="15.75" customHeight="1">
      <c r="A32" s="16">
        <v>1140200000</v>
      </c>
      <c r="B32" s="18" t="s">
        <v>213</v>
      </c>
      <c r="C32" s="9">
        <v>1009.24</v>
      </c>
      <c r="D32" s="10">
        <v>1009.24</v>
      </c>
      <c r="E32" s="9">
        <f t="shared" si="0"/>
        <v>100</v>
      </c>
      <c r="F32" s="9">
        <f t="shared" si="1"/>
        <v>0</v>
      </c>
    </row>
    <row r="33" spans="1:7" ht="15.75" customHeight="1">
      <c r="A33" s="7">
        <v>1140600000</v>
      </c>
      <c r="B33" s="8" t="s">
        <v>214</v>
      </c>
      <c r="C33" s="9">
        <v>357</v>
      </c>
      <c r="D33" s="10">
        <v>357</v>
      </c>
      <c r="E33" s="9">
        <f t="shared" si="0"/>
        <v>100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5">
        <f>C35</f>
        <v>0</v>
      </c>
      <c r="D34" s="5">
        <f>D35</f>
        <v>10.480639999999999</v>
      </c>
      <c r="E34" s="5" t="e">
        <f t="shared" si="0"/>
        <v>#DIV/0!</v>
      </c>
      <c r="F34" s="5">
        <f t="shared" si="1"/>
        <v>10.480639999999999</v>
      </c>
    </row>
    <row r="35" spans="1:7" ht="15" customHeight="1">
      <c r="A35" s="7">
        <v>1160701010</v>
      </c>
      <c r="B35" s="8" t="s">
        <v>402</v>
      </c>
      <c r="C35" s="9">
        <v>0</v>
      </c>
      <c r="D35" s="10">
        <v>10.480639999999999</v>
      </c>
      <c r="E35" s="9" t="e">
        <f t="shared" si="0"/>
        <v>#DIV/0!</v>
      </c>
      <c r="F35" s="9">
        <f t="shared" si="1"/>
        <v>10.480639999999999</v>
      </c>
    </row>
    <row r="36" spans="1:7" ht="15" customHeight="1">
      <c r="A36" s="3">
        <v>1170000000</v>
      </c>
      <c r="B36" s="13" t="s">
        <v>128</v>
      </c>
      <c r="C36" s="5">
        <f>C37+C38</f>
        <v>900</v>
      </c>
      <c r="D36" s="5">
        <f>D37+D38</f>
        <v>957.61023</v>
      </c>
      <c r="E36" s="5">
        <f t="shared" si="0"/>
        <v>106.40113666666666</v>
      </c>
      <c r="F36" s="5">
        <f t="shared" si="1"/>
        <v>57.610230000000001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1171503010</v>
      </c>
      <c r="B38" s="11" t="s">
        <v>406</v>
      </c>
      <c r="C38" s="9">
        <v>900</v>
      </c>
      <c r="D38" s="10">
        <v>957.61023</v>
      </c>
      <c r="E38" s="9">
        <f t="shared" si="0"/>
        <v>106.40113666666666</v>
      </c>
      <c r="F38" s="9">
        <f t="shared" si="1"/>
        <v>57.610230000000001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7887.6425799999997</v>
      </c>
      <c r="D39" s="125">
        <f>SUM(D4,D25)</f>
        <v>7596.2189600000002</v>
      </c>
      <c r="E39" s="5">
        <f t="shared" si="0"/>
        <v>96.305314077758325</v>
      </c>
      <c r="F39" s="5">
        <f t="shared" si="1"/>
        <v>-291.42361999999957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14862.764200000001</v>
      </c>
      <c r="D40" s="224">
        <f>D41+D43+D45+D46+D48+D49+D42+D44+D51</f>
        <v>14746.343390000002</v>
      </c>
      <c r="E40" s="5">
        <f t="shared" si="0"/>
        <v>99.216694765298115</v>
      </c>
      <c r="F40" s="5">
        <f t="shared" si="1"/>
        <v>-116.42080999999962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1479.2</v>
      </c>
      <c r="E41" s="9">
        <f t="shared" si="0"/>
        <v>100</v>
      </c>
      <c r="F41" s="9">
        <f t="shared" si="1"/>
        <v>0</v>
      </c>
    </row>
    <row r="42" spans="1:7" ht="15.75" hidden="1" customHeight="1">
      <c r="A42" s="16">
        <v>2020100310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9585.9362700000001</v>
      </c>
      <c r="D43" s="10">
        <v>9480.7693099999997</v>
      </c>
      <c r="E43" s="9">
        <f t="shared" si="0"/>
        <v>98.902903617989523</v>
      </c>
      <c r="F43" s="9">
        <f t="shared" si="1"/>
        <v>-105.16696000000047</v>
      </c>
    </row>
    <row r="44" spans="1:7" hidden="1">
      <c r="A44" s="16">
        <v>2022999910</v>
      </c>
      <c r="B44" s="18" t="s">
        <v>322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100.99429000000001</v>
      </c>
      <c r="D45" s="180">
        <v>100.99429000000001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21</v>
      </c>
      <c r="C46" s="12">
        <v>3696.63364</v>
      </c>
      <c r="D46" s="181">
        <v>3685.37979</v>
      </c>
      <c r="E46" s="9">
        <f t="shared" si="0"/>
        <v>99.695564908617769</v>
      </c>
      <c r="F46" s="9">
        <f t="shared" si="1"/>
        <v>-11.253850000000057</v>
      </c>
    </row>
    <row r="47" spans="1:7" ht="0.75" customHeight="1">
      <c r="A47" s="16">
        <v>2020700000</v>
      </c>
      <c r="B47" s="17" t="s">
        <v>329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324</v>
      </c>
      <c r="C51" s="12"/>
      <c r="D51" s="10"/>
      <c r="E51" s="9" t="e">
        <f t="shared" si="0"/>
        <v>#DIV/0!</v>
      </c>
      <c r="F51" s="9">
        <f t="shared" si="1"/>
        <v>0</v>
      </c>
    </row>
    <row r="52" spans="1:7" s="6" customFormat="1" ht="15.75" customHeight="1">
      <c r="A52" s="3"/>
      <c r="B52" s="4" t="s">
        <v>25</v>
      </c>
      <c r="C52" s="240">
        <f>C39+C40</f>
        <v>22750.406780000001</v>
      </c>
      <c r="D52" s="241">
        <f>D39+D40</f>
        <v>22342.56235</v>
      </c>
      <c r="E52" s="5">
        <f t="shared" si="0"/>
        <v>98.207309284867208</v>
      </c>
      <c r="F52" s="5">
        <f t="shared" si="1"/>
        <v>-407.84443000000101</v>
      </c>
      <c r="G52" s="93"/>
    </row>
    <row r="53" spans="1:7" s="6" customFormat="1">
      <c r="A53" s="3"/>
      <c r="B53" s="21" t="s">
        <v>300</v>
      </c>
      <c r="C53" s="92">
        <f>C52-C103</f>
        <v>-753.31070999999793</v>
      </c>
      <c r="D53" s="92">
        <f>D52-D103</f>
        <v>20.698469999999361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2831.9647500000001</v>
      </c>
      <c r="D57" s="32">
        <f>D58+D59+D60+D61+D62+D64+D63</f>
        <v>2787.7168799999999</v>
      </c>
      <c r="E57" s="34">
        <f>SUM(D57/C57*100)</f>
        <v>98.437555764068037</v>
      </c>
      <c r="F57" s="34">
        <f>SUM(D57-C57)</f>
        <v>-44.247870000000148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2660.6980800000001</v>
      </c>
      <c r="D59" s="37">
        <v>2617.45021</v>
      </c>
      <c r="E59" s="38">
        <f t="shared" ref="E59:E103" si="3">SUM(D59/C59*100)</f>
        <v>98.374566797898382</v>
      </c>
      <c r="F59" s="38">
        <f t="shared" ref="F59:F103" si="4">SUM(D59-C59)</f>
        <v>-43.247870000000148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>SUM(D63/C63*100)</f>
        <v>0</v>
      </c>
      <c r="F63" s="38">
        <f t="shared" si="4"/>
        <v>-1</v>
      </c>
    </row>
    <row r="64" spans="1:7" ht="18" customHeight="1">
      <c r="A64" s="35" t="s">
        <v>41</v>
      </c>
      <c r="B64" s="39" t="s">
        <v>42</v>
      </c>
      <c r="C64" s="37">
        <v>170.26667</v>
      </c>
      <c r="D64" s="37">
        <v>170.26667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100.99429000000001</v>
      </c>
      <c r="D65" s="32">
        <f>D66</f>
        <v>100.99429000000001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100.99429000000001</v>
      </c>
      <c r="D66" s="37">
        <v>100.99429000000001</v>
      </c>
      <c r="E66" s="38">
        <f t="shared" si="3"/>
        <v>100</v>
      </c>
      <c r="F66" s="38">
        <f t="shared" si="4"/>
        <v>0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10.5</v>
      </c>
      <c r="D67" s="32">
        <f>D70+D71+D72</f>
        <v>8</v>
      </c>
      <c r="E67" s="34">
        <f t="shared" si="3"/>
        <v>76.19047619047619</v>
      </c>
      <c r="F67" s="34">
        <f t="shared" si="4"/>
        <v>-2.5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210</v>
      </c>
      <c r="B71" s="47" t="s">
        <v>211</v>
      </c>
      <c r="C71" s="37">
        <v>8.5</v>
      </c>
      <c r="D71" s="37">
        <v>6</v>
      </c>
      <c r="E71" s="34">
        <f t="shared" si="3"/>
        <v>70.588235294117652</v>
      </c>
      <c r="F71" s="34">
        <f t="shared" si="4"/>
        <v>-2.5</v>
      </c>
    </row>
    <row r="72" spans="1:7" ht="15.75" customHeight="1">
      <c r="A72" s="46" t="s">
        <v>330</v>
      </c>
      <c r="B72" s="47" t="s">
        <v>386</v>
      </c>
      <c r="C72" s="37">
        <v>2</v>
      </c>
      <c r="D72" s="37">
        <v>2</v>
      </c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4577.6575700000003</v>
      </c>
      <c r="D73" s="48">
        <f>SUM(D74:D77)</f>
        <v>4574.0727299999999</v>
      </c>
      <c r="E73" s="34">
        <f t="shared" si="3"/>
        <v>99.92168833196493</v>
      </c>
      <c r="F73" s="34">
        <f t="shared" si="4"/>
        <v>-3.5848400000004403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4138.0205100000003</v>
      </c>
      <c r="D76" s="37">
        <v>4137.4356699999998</v>
      </c>
      <c r="E76" s="38">
        <f t="shared" si="3"/>
        <v>99.985866672275137</v>
      </c>
      <c r="F76" s="38">
        <f t="shared" si="4"/>
        <v>-0.58484000000044034</v>
      </c>
    </row>
    <row r="77" spans="1:7">
      <c r="A77" s="35" t="s">
        <v>63</v>
      </c>
      <c r="B77" s="39" t="s">
        <v>64</v>
      </c>
      <c r="C77" s="49">
        <v>439.63706000000002</v>
      </c>
      <c r="D77" s="37">
        <v>436.63706000000002</v>
      </c>
      <c r="E77" s="38">
        <f t="shared" si="3"/>
        <v>99.31761894686494</v>
      </c>
      <c r="F77" s="38">
        <f t="shared" si="4"/>
        <v>-3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14680.54888</v>
      </c>
      <c r="D78" s="32">
        <f>SUM(D79:D82)</f>
        <v>14467.794980000001</v>
      </c>
      <c r="E78" s="34">
        <f t="shared" si="3"/>
        <v>98.550776937980544</v>
      </c>
      <c r="F78" s="34">
        <f t="shared" si="4"/>
        <v>-212.7538999999997</v>
      </c>
    </row>
    <row r="79" spans="1:7" ht="15.75" hidden="1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12688.308580000001</v>
      </c>
      <c r="D80" s="37">
        <v>12475.70498</v>
      </c>
      <c r="E80" s="38">
        <f t="shared" si="3"/>
        <v>98.324413386862943</v>
      </c>
      <c r="F80" s="38">
        <f t="shared" si="4"/>
        <v>-212.60360000000037</v>
      </c>
    </row>
    <row r="81" spans="1:6" ht="18" customHeight="1">
      <c r="A81" s="35" t="s">
        <v>71</v>
      </c>
      <c r="B81" s="39" t="s">
        <v>72</v>
      </c>
      <c r="C81" s="37">
        <v>1992.2402999999999</v>
      </c>
      <c r="D81" s="37">
        <v>1992.09</v>
      </c>
      <c r="E81" s="38">
        <f t="shared" si="3"/>
        <v>99.992455729361566</v>
      </c>
      <c r="F81" s="38">
        <f t="shared" si="4"/>
        <v>-0.15030000000001564</v>
      </c>
    </row>
    <row r="82" spans="1:6" hidden="1">
      <c r="A82" s="35" t="s">
        <v>247</v>
      </c>
      <c r="B82" s="39" t="s">
        <v>248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81</v>
      </c>
      <c r="B83" s="31" t="s">
        <v>82</v>
      </c>
      <c r="C83" s="32">
        <f>C84+C85</f>
        <v>1263.0519999999999</v>
      </c>
      <c r="D83" s="32">
        <f>D84+D85</f>
        <v>344.28500000000003</v>
      </c>
      <c r="E83" s="34">
        <f t="shared" si="3"/>
        <v>27.258180977505287</v>
      </c>
      <c r="F83" s="34">
        <f t="shared" si="4"/>
        <v>-918.76699999999983</v>
      </c>
    </row>
    <row r="84" spans="1:6" ht="18" customHeight="1">
      <c r="A84" s="35" t="s">
        <v>83</v>
      </c>
      <c r="B84" s="39" t="s">
        <v>225</v>
      </c>
      <c r="C84" s="37">
        <v>1263.0519999999999</v>
      </c>
      <c r="D84" s="37">
        <v>344.28500000000003</v>
      </c>
      <c r="E84" s="38">
        <f t="shared" si="3"/>
        <v>27.258180977505287</v>
      </c>
      <c r="F84" s="38">
        <f t="shared" si="4"/>
        <v>-918.76699999999983</v>
      </c>
    </row>
    <row r="85" spans="1:6" hidden="1">
      <c r="A85" s="35" t="s">
        <v>254</v>
      </c>
      <c r="B85" s="39" t="s">
        <v>255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t="21" customHeight="1">
      <c r="A86" s="52">
        <v>1000</v>
      </c>
      <c r="B86" s="31" t="s">
        <v>84</v>
      </c>
      <c r="C86" s="32">
        <f>SUM(C87:C90)</f>
        <v>4</v>
      </c>
      <c r="D86" s="32">
        <f>SUM(D87:D90)</f>
        <v>4</v>
      </c>
      <c r="E86" s="38">
        <f t="shared" si="3"/>
        <v>100</v>
      </c>
      <c r="F86" s="38">
        <f t="shared" si="4"/>
        <v>0</v>
      </c>
    </row>
    <row r="87" spans="1:6" ht="22.5" hidden="1" customHeight="1">
      <c r="A87" s="53">
        <v>1001</v>
      </c>
      <c r="B87" s="54" t="s">
        <v>85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20.25" customHeight="1">
      <c r="A88" s="53">
        <v>1003</v>
      </c>
      <c r="B88" s="54" t="s">
        <v>86</v>
      </c>
      <c r="C88" s="37">
        <v>4</v>
      </c>
      <c r="D88" s="37">
        <v>4</v>
      </c>
      <c r="E88" s="38">
        <f t="shared" si="3"/>
        <v>100</v>
      </c>
      <c r="F88" s="38">
        <f t="shared" si="4"/>
        <v>0</v>
      </c>
    </row>
    <row r="89" spans="1:6" ht="22.5" hidden="1" customHeight="1">
      <c r="A89" s="53">
        <v>1004</v>
      </c>
      <c r="B89" s="54" t="s">
        <v>87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.5" customHeight="1">
      <c r="A90" s="35" t="s">
        <v>88</v>
      </c>
      <c r="B90" s="39" t="s">
        <v>89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0.75" customHeight="1">
      <c r="A91" s="52">
        <v>1000</v>
      </c>
      <c r="B91" s="31" t="s">
        <v>84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19.5" hidden="1" customHeight="1">
      <c r="A92" s="53">
        <v>1006</v>
      </c>
      <c r="B92" s="54" t="s">
        <v>85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91</v>
      </c>
      <c r="C93" s="32">
        <f>C94+C95+C96+C97+C98</f>
        <v>35</v>
      </c>
      <c r="D93" s="32">
        <f>D94+D95+D96+D97+D98</f>
        <v>35</v>
      </c>
      <c r="E93" s="38">
        <f t="shared" si="3"/>
        <v>100</v>
      </c>
      <c r="F93" s="22">
        <f>F94+F95+F96+F97+F98</f>
        <v>0</v>
      </c>
    </row>
    <row r="94" spans="1:6" ht="18.75" customHeight="1">
      <c r="A94" s="53">
        <v>1101</v>
      </c>
      <c r="B94" s="54" t="s">
        <v>93</v>
      </c>
      <c r="C94" s="37">
        <v>35</v>
      </c>
      <c r="D94" s="37">
        <v>35</v>
      </c>
      <c r="E94" s="38">
        <f t="shared" si="3"/>
        <v>100</v>
      </c>
      <c r="F94" s="38">
        <f>SUM(D94-C94)</f>
        <v>0</v>
      </c>
    </row>
    <row r="95" spans="1:6" ht="0.75" hidden="1" customHeight="1">
      <c r="A95" s="35" t="s">
        <v>88</v>
      </c>
      <c r="B95" s="39" t="s">
        <v>89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96</v>
      </c>
      <c r="B96" s="39" t="s">
        <v>97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98</v>
      </c>
      <c r="B97" s="39" t="s">
        <v>99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100</v>
      </c>
      <c r="B98" s="39" t="s">
        <v>101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109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110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111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112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113</v>
      </c>
      <c r="C103" s="243">
        <f>C57+C65+C67+C73+C78+C83+C86+C93+C99+C91</f>
        <v>23503.717489999999</v>
      </c>
      <c r="D103" s="243">
        <f>D57+D65+D67+D73+D78+D83+D86+D93+D99+D91</f>
        <v>22321.863880000001</v>
      </c>
      <c r="E103" s="34">
        <f t="shared" si="3"/>
        <v>94.971631145146134</v>
      </c>
      <c r="F103" s="34">
        <f t="shared" si="4"/>
        <v>-1181.8536099999983</v>
      </c>
    </row>
    <row r="104" spans="1:6">
      <c r="D104" s="175"/>
    </row>
    <row r="105" spans="1:6" s="65" customFormat="1" ht="12.75">
      <c r="A105" s="63" t="s">
        <v>114</v>
      </c>
      <c r="B105" s="63"/>
      <c r="C105" s="117"/>
      <c r="D105" s="64"/>
    </row>
    <row r="106" spans="1:6" s="65" customFormat="1" ht="18.75" customHeight="1">
      <c r="A106" s="66" t="s">
        <v>115</v>
      </c>
      <c r="B106" s="66"/>
      <c r="C106" s="65" t="s">
        <v>116</v>
      </c>
    </row>
    <row r="143" hidden="1"/>
  </sheetData>
  <customSheetViews>
    <customSheetView guid="{61528DAC-5C4C-48F4-ADE2-8A724B05A086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A486C6EE-08B2-475E-8DA1-C3C3163412A9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2"/>
    </customSheetView>
    <customSheetView guid="{F1E84C44-1ACD-474A-BDE0-C7088DB6C590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4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5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6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8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9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10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11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5C539BE6-C8E0-453F-AB5E-9E58094195EA}" scale="70" showPageBreaks="1" hiddenRows="1" view="pageBreakPreview" topLeftCell="A34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4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G143"/>
  <sheetViews>
    <sheetView view="pageBreakPreview" topLeftCell="A12" zoomScale="70" zoomScaleNormal="100" zoomScaleSheetLayoutView="70" workbookViewId="0">
      <selection activeCell="D29" sqref="D29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627" t="s">
        <v>419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6.7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2570.5387599999999</v>
      </c>
      <c r="E4" s="5">
        <f>SUM(D4/C4*100)</f>
        <v>111.6741865132808</v>
      </c>
      <c r="F4" s="5">
        <f>SUM(D4-C4)</f>
        <v>268.7187600000002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323.16827000000001</v>
      </c>
      <c r="E5" s="5">
        <f t="shared" ref="E5:E52" si="0">SUM(D5/C5*100)</f>
        <v>118.37665567765568</v>
      </c>
      <c r="F5" s="5">
        <f t="shared" ref="F5:F52" si="1">SUM(D5-C5)</f>
        <v>50.168270000000007</v>
      </c>
    </row>
    <row r="6" spans="1:6">
      <c r="A6" s="7">
        <v>1010200001</v>
      </c>
      <c r="B6" s="8" t="s">
        <v>220</v>
      </c>
      <c r="C6" s="9">
        <v>273</v>
      </c>
      <c r="D6" s="10">
        <v>323.16827000000001</v>
      </c>
      <c r="E6" s="9">
        <f t="shared" ref="E6:E11" si="2">SUM(D6/C6*100)</f>
        <v>118.37665567765568</v>
      </c>
      <c r="F6" s="9">
        <f t="shared" si="1"/>
        <v>50.168270000000007</v>
      </c>
    </row>
    <row r="7" spans="1:6" ht="31.5">
      <c r="A7" s="3">
        <v>1030000000</v>
      </c>
      <c r="B7" s="13" t="s">
        <v>259</v>
      </c>
      <c r="C7" s="5">
        <f>C8+C10+C9</f>
        <v>550.81999999999994</v>
      </c>
      <c r="D7" s="242">
        <f>D8+D9+D10+D11</f>
        <v>651.2116299999999</v>
      </c>
      <c r="E7" s="9">
        <f t="shared" si="2"/>
        <v>118.22585055008896</v>
      </c>
      <c r="F7" s="9">
        <f t="shared" si="1"/>
        <v>100.39162999999996</v>
      </c>
    </row>
    <row r="8" spans="1:6">
      <c r="A8" s="7">
        <v>1030223001</v>
      </c>
      <c r="B8" s="8" t="s">
        <v>261</v>
      </c>
      <c r="C8" s="9">
        <v>205.45599999999999</v>
      </c>
      <c r="D8" s="10">
        <v>326.45697999999999</v>
      </c>
      <c r="E8" s="9">
        <f t="shared" si="2"/>
        <v>158.89386535316567</v>
      </c>
      <c r="F8" s="9">
        <f t="shared" si="1"/>
        <v>121.00098</v>
      </c>
    </row>
    <row r="9" spans="1:6">
      <c r="A9" s="7">
        <v>1030224001</v>
      </c>
      <c r="B9" s="8" t="s">
        <v>267</v>
      </c>
      <c r="C9" s="9">
        <v>2.2029999999999998</v>
      </c>
      <c r="D9" s="10">
        <v>1.7633799999999999</v>
      </c>
      <c r="E9" s="9">
        <f t="shared" si="2"/>
        <v>80.044484793463468</v>
      </c>
      <c r="F9" s="9">
        <f t="shared" si="1"/>
        <v>-0.4396199999999999</v>
      </c>
    </row>
    <row r="10" spans="1:6">
      <c r="A10" s="7">
        <v>1030225001</v>
      </c>
      <c r="B10" s="8" t="s">
        <v>260</v>
      </c>
      <c r="C10" s="9">
        <v>343.161</v>
      </c>
      <c r="D10" s="10">
        <v>360.44537000000003</v>
      </c>
      <c r="E10" s="9">
        <f t="shared" si="2"/>
        <v>105.03681070984175</v>
      </c>
      <c r="F10" s="9">
        <f t="shared" si="1"/>
        <v>17.284370000000024</v>
      </c>
    </row>
    <row r="11" spans="1:6">
      <c r="A11" s="7">
        <v>1030265001</v>
      </c>
      <c r="B11" s="8" t="s">
        <v>269</v>
      </c>
      <c r="C11" s="9">
        <v>0</v>
      </c>
      <c r="D11" s="10">
        <v>-37.454099999999997</v>
      </c>
      <c r="E11" s="9" t="e">
        <f t="shared" si="2"/>
        <v>#DIV/0!</v>
      </c>
      <c r="F11" s="9">
        <f t="shared" si="1"/>
        <v>-37.454099999999997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1460</v>
      </c>
      <c r="D14" s="5">
        <f>D15+D16</f>
        <v>1587.6179999999999</v>
      </c>
      <c r="E14" s="5">
        <f t="shared" si="0"/>
        <v>108.74095890410958</v>
      </c>
      <c r="F14" s="5">
        <f t="shared" si="1"/>
        <v>127.61799999999994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371.22931</v>
      </c>
      <c r="E15" s="9">
        <f t="shared" si="0"/>
        <v>103.11925277777777</v>
      </c>
      <c r="F15" s="9">
        <f>SUM(D15-C15)</f>
        <v>11.229309999999998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1216.38869</v>
      </c>
      <c r="E16" s="9">
        <f t="shared" si="0"/>
        <v>110.58079000000001</v>
      </c>
      <c r="F16" s="9">
        <f t="shared" si="1"/>
        <v>116.38869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4.84</v>
      </c>
      <c r="E17" s="5">
        <f t="shared" si="0"/>
        <v>60.5</v>
      </c>
      <c r="F17" s="5">
        <f t="shared" si="1"/>
        <v>-3.16</v>
      </c>
    </row>
    <row r="18" spans="1:6" ht="18" customHeight="1">
      <c r="A18" s="7">
        <v>1080400001</v>
      </c>
      <c r="B18" s="8" t="s">
        <v>219</v>
      </c>
      <c r="C18" s="9">
        <v>8</v>
      </c>
      <c r="D18" s="9">
        <v>4.84</v>
      </c>
      <c r="E18" s="9">
        <f t="shared" si="0"/>
        <v>60.5</v>
      </c>
      <c r="F18" s="9">
        <f t="shared" si="1"/>
        <v>-3.16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956.66285000000005</v>
      </c>
      <c r="D25" s="5">
        <f>D26+D30+D32+D37+D35</f>
        <v>1731.2947799999999</v>
      </c>
      <c r="E25" s="5">
        <f t="shared" si="0"/>
        <v>180.97230178845138</v>
      </c>
      <c r="F25" s="5">
        <f t="shared" si="1"/>
        <v>774.6319299999999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130</v>
      </c>
      <c r="D26" s="224">
        <f>D27+D28+D29</f>
        <v>203.25954000000002</v>
      </c>
      <c r="E26" s="5">
        <f t="shared" si="0"/>
        <v>156.35349230769231</v>
      </c>
      <c r="F26" s="5">
        <f t="shared" si="1"/>
        <v>73.259540000000015</v>
      </c>
    </row>
    <row r="27" spans="1:6" ht="15.75" customHeight="1">
      <c r="A27" s="16">
        <v>1110502510</v>
      </c>
      <c r="B27" s="17" t="s">
        <v>217</v>
      </c>
      <c r="C27" s="12">
        <v>100</v>
      </c>
      <c r="D27" s="12">
        <v>149.25879</v>
      </c>
      <c r="E27" s="9">
        <f t="shared" si="0"/>
        <v>149.25879</v>
      </c>
      <c r="F27" s="9">
        <f t="shared" si="1"/>
        <v>49.258790000000005</v>
      </c>
    </row>
    <row r="28" spans="1:6" ht="17.25" customHeight="1">
      <c r="A28" s="7">
        <v>1110503510</v>
      </c>
      <c r="B28" s="11" t="s">
        <v>216</v>
      </c>
      <c r="C28" s="12">
        <v>30</v>
      </c>
      <c r="D28" s="10">
        <v>54.000749999999996</v>
      </c>
      <c r="E28" s="9">
        <f t="shared" si="0"/>
        <v>180.0025</v>
      </c>
      <c r="F28" s="9">
        <f t="shared" si="1"/>
        <v>24.000749999999996</v>
      </c>
    </row>
    <row r="29" spans="1:6" ht="33" customHeight="1">
      <c r="A29" s="7">
        <v>1110532000</v>
      </c>
      <c r="B29" s="8" t="s">
        <v>407</v>
      </c>
      <c r="C29" s="12"/>
      <c r="D29" s="10">
        <v>0</v>
      </c>
      <c r="E29" s="9"/>
      <c r="F29" s="9"/>
    </row>
    <row r="30" spans="1:6" s="15" customFormat="1" ht="15" customHeight="1">
      <c r="A30" s="68">
        <v>1130000000</v>
      </c>
      <c r="B30" s="69" t="s">
        <v>124</v>
      </c>
      <c r="C30" s="5">
        <f>C31</f>
        <v>50</v>
      </c>
      <c r="D30" s="5">
        <f>D31</f>
        <v>63.020650000000003</v>
      </c>
      <c r="E30" s="5">
        <f t="shared" si="0"/>
        <v>126.04130000000001</v>
      </c>
      <c r="F30" s="5">
        <f t="shared" si="1"/>
        <v>13.020650000000003</v>
      </c>
    </row>
    <row r="31" spans="1:6" ht="15.75" customHeight="1">
      <c r="A31" s="7">
        <v>1130206005</v>
      </c>
      <c r="B31" s="8" t="s">
        <v>215</v>
      </c>
      <c r="C31" s="9">
        <v>50</v>
      </c>
      <c r="D31" s="10">
        <v>63.020650000000003</v>
      </c>
      <c r="E31" s="9">
        <f t="shared" si="0"/>
        <v>126.04130000000001</v>
      </c>
      <c r="F31" s="9">
        <f t="shared" si="1"/>
        <v>13.020650000000003</v>
      </c>
    </row>
    <row r="32" spans="1:6" ht="18.75" customHeight="1">
      <c r="A32" s="70">
        <v>1140000000</v>
      </c>
      <c r="B32" s="71" t="s">
        <v>125</v>
      </c>
      <c r="C32" s="5">
        <f>C33+C34</f>
        <v>0</v>
      </c>
      <c r="D32" s="5">
        <f>D33+D34</f>
        <v>97.840500000000006</v>
      </c>
      <c r="E32" s="5" t="e">
        <f t="shared" si="0"/>
        <v>#DIV/0!</v>
      </c>
      <c r="F32" s="5">
        <f t="shared" si="1"/>
        <v>97.840500000000006</v>
      </c>
    </row>
    <row r="33" spans="1:7" ht="21.75" customHeight="1">
      <c r="A33" s="16">
        <v>1140200000</v>
      </c>
      <c r="B33" s="18" t="s">
        <v>126</v>
      </c>
      <c r="C33" s="9"/>
      <c r="D33" s="10">
        <v>97.840500000000006</v>
      </c>
      <c r="E33" s="9" t="e">
        <f t="shared" si="0"/>
        <v>#DIV/0!</v>
      </c>
      <c r="F33" s="9">
        <f t="shared" si="1"/>
        <v>97.840500000000006</v>
      </c>
    </row>
    <row r="34" spans="1:7" ht="21.75" customHeight="1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customHeight="1">
      <c r="A35" s="7">
        <v>1169000000</v>
      </c>
      <c r="B35" s="13" t="s">
        <v>315</v>
      </c>
      <c r="C35" s="9">
        <v>0</v>
      </c>
      <c r="D35" s="10">
        <f>D36</f>
        <v>218.01411999999999</v>
      </c>
      <c r="E35" s="9" t="e">
        <f>SUM(D35/C35*100)</f>
        <v>#DIV/0!</v>
      </c>
      <c r="F35" s="9">
        <f>SUM(D35-C35)</f>
        <v>218.01411999999999</v>
      </c>
    </row>
    <row r="36" spans="1:7" ht="30.75" customHeight="1">
      <c r="A36" s="7">
        <v>1160701010</v>
      </c>
      <c r="B36" s="8" t="s">
        <v>400</v>
      </c>
      <c r="C36" s="9">
        <v>0</v>
      </c>
      <c r="D36" s="10">
        <v>218.01411999999999</v>
      </c>
      <c r="E36" s="9" t="e">
        <f>SUM(D36/C36*100)</f>
        <v>#DIV/0!</v>
      </c>
      <c r="F36" s="9">
        <f>SUM(D36-C36)</f>
        <v>218.01411999999999</v>
      </c>
    </row>
    <row r="37" spans="1:7" ht="19.5" customHeight="1">
      <c r="A37" s="3">
        <v>1170000000</v>
      </c>
      <c r="B37" s="13" t="s">
        <v>128</v>
      </c>
      <c r="C37" s="5">
        <f>C38+C39</f>
        <v>776.66285000000005</v>
      </c>
      <c r="D37" s="5">
        <f>D38+D39</f>
        <v>1149.1599699999999</v>
      </c>
      <c r="E37" s="5">
        <f t="shared" si="0"/>
        <v>147.9612382644541</v>
      </c>
      <c r="F37" s="5">
        <f t="shared" si="1"/>
        <v>372.49711999999988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406</v>
      </c>
      <c r="C39" s="9">
        <v>776.66285000000005</v>
      </c>
      <c r="D39" s="10">
        <v>1149.1599699999999</v>
      </c>
      <c r="E39" s="9">
        <f t="shared" si="0"/>
        <v>147.9612382644541</v>
      </c>
      <c r="F39" s="9">
        <f t="shared" si="1"/>
        <v>372.49711999999988</v>
      </c>
    </row>
    <row r="40" spans="1:7" s="6" customFormat="1" ht="20.25" customHeight="1">
      <c r="A40" s="3">
        <v>1000000000</v>
      </c>
      <c r="B40" s="4" t="s">
        <v>16</v>
      </c>
      <c r="C40" s="252">
        <f>SUM(C4,C25)</f>
        <v>3258.4828499999999</v>
      </c>
      <c r="D40" s="252">
        <f>SUM(D4,D25)</f>
        <v>4301.8335399999996</v>
      </c>
      <c r="E40" s="5">
        <f t="shared" si="0"/>
        <v>132.01952374860588</v>
      </c>
      <c r="F40" s="5">
        <f t="shared" si="1"/>
        <v>1043.3506899999998</v>
      </c>
    </row>
    <row r="41" spans="1:7" s="6" customFormat="1">
      <c r="A41" s="3">
        <v>2000000000</v>
      </c>
      <c r="B41" s="4" t="s">
        <v>17</v>
      </c>
      <c r="C41" s="5">
        <f>C42+C44+C46+C47+C49+C50+C48+C43+C45</f>
        <v>11167.23504</v>
      </c>
      <c r="D41" s="224">
        <f>D42+D44+D46+D47+D49+D50+D43+D48</f>
        <v>10911.96184</v>
      </c>
      <c r="E41" s="5">
        <f t="shared" si="0"/>
        <v>97.714087694172875</v>
      </c>
      <c r="F41" s="5">
        <f t="shared" si="1"/>
        <v>-255.27319999999963</v>
      </c>
      <c r="G41" s="19"/>
    </row>
    <row r="42" spans="1:7">
      <c r="A42" s="16">
        <v>2021000000</v>
      </c>
      <c r="B42" s="17" t="s">
        <v>18</v>
      </c>
      <c r="C42" s="98">
        <v>3478.3</v>
      </c>
      <c r="D42" s="20">
        <v>3478.3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223</v>
      </c>
      <c r="C43" s="12"/>
      <c r="D43" s="20">
        <v>0</v>
      </c>
      <c r="E43" s="9" t="e">
        <f>SUM(D43/C43*100)</f>
        <v>#DIV/0!</v>
      </c>
      <c r="F43" s="9">
        <f>SUM(D43-C43)</f>
        <v>0</v>
      </c>
    </row>
    <row r="44" spans="1:7" ht="19.5" customHeight="1">
      <c r="A44" s="16">
        <v>2022000000</v>
      </c>
      <c r="B44" s="17" t="s">
        <v>19</v>
      </c>
      <c r="C44" s="12">
        <v>5605.0820800000001</v>
      </c>
      <c r="D44" s="10">
        <v>5434.8999400000002</v>
      </c>
      <c r="E44" s="9">
        <f t="shared" si="0"/>
        <v>96.963788619487985</v>
      </c>
      <c r="F44" s="9">
        <f t="shared" si="1"/>
        <v>-170.18213999999989</v>
      </c>
    </row>
    <row r="45" spans="1:7" hidden="1">
      <c r="A45" s="16">
        <v>2022999910</v>
      </c>
      <c r="B45" s="18" t="s">
        <v>322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>
      <c r="A46" s="16">
        <v>2023000000</v>
      </c>
      <c r="B46" s="17" t="s">
        <v>20</v>
      </c>
      <c r="C46" s="12">
        <v>278.29858999999999</v>
      </c>
      <c r="D46" s="180">
        <v>278.29858999999999</v>
      </c>
      <c r="E46" s="9">
        <f t="shared" si="0"/>
        <v>100</v>
      </c>
      <c r="F46" s="9">
        <f t="shared" si="1"/>
        <v>0</v>
      </c>
    </row>
    <row r="47" spans="1:7" ht="19.5" customHeight="1">
      <c r="A47" s="16">
        <v>2020400000</v>
      </c>
      <c r="B47" s="17" t="s">
        <v>21</v>
      </c>
      <c r="C47" s="12">
        <v>1805.5543700000001</v>
      </c>
      <c r="D47" s="181">
        <v>1720.4633100000001</v>
      </c>
      <c r="E47" s="9">
        <f t="shared" si="0"/>
        <v>95.287261274774011</v>
      </c>
      <c r="F47" s="9">
        <f t="shared" si="1"/>
        <v>-85.09105999999997</v>
      </c>
    </row>
    <row r="48" spans="1:7" ht="20.25" customHeight="1">
      <c r="A48" s="7">
        <v>2070500010</v>
      </c>
      <c r="B48" s="18" t="s">
        <v>276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19.5" hidden="1" customHeight="1">
      <c r="A49" s="16">
        <v>2020900000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7" ht="0.75" hidden="1" customHeight="1">
      <c r="A50" s="7">
        <v>2190500005</v>
      </c>
      <c r="B50" s="11" t="s">
        <v>23</v>
      </c>
      <c r="C50" s="14"/>
      <c r="D50" s="14"/>
      <c r="E50" s="5"/>
      <c r="F50" s="5">
        <f>SUM(D50-C50)</f>
        <v>0</v>
      </c>
    </row>
    <row r="51" spans="1:7" s="6" customFormat="1" ht="3" hidden="1" customHeight="1">
      <c r="A51" s="3">
        <v>3000000000</v>
      </c>
      <c r="B51" s="13" t="s">
        <v>24</v>
      </c>
      <c r="C51" s="120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7" s="6" customFormat="1" ht="17.25" customHeight="1">
      <c r="A52" s="3"/>
      <c r="B52" s="4" t="s">
        <v>25</v>
      </c>
      <c r="C52" s="240">
        <f>C40+C41</f>
        <v>14425.71789</v>
      </c>
      <c r="D52" s="241">
        <f>D40+D41</f>
        <v>15213.79538</v>
      </c>
      <c r="E52" s="5">
        <f t="shared" si="0"/>
        <v>105.46300361624499</v>
      </c>
      <c r="F52" s="5">
        <f t="shared" si="1"/>
        <v>788.07748999999967</v>
      </c>
      <c r="G52" s="193"/>
    </row>
    <row r="53" spans="1:7" s="6" customFormat="1">
      <c r="A53" s="3"/>
      <c r="B53" s="21" t="s">
        <v>299</v>
      </c>
      <c r="C53" s="92">
        <f>C52-C100</f>
        <v>-310.18125999999938</v>
      </c>
      <c r="D53" s="92">
        <f>D52-D100</f>
        <v>1636.5421000000006</v>
      </c>
      <c r="E53" s="22"/>
      <c r="F53" s="22"/>
    </row>
    <row r="54" spans="1:7" ht="23.25" customHeight="1">
      <c r="A54" s="23"/>
      <c r="B54" s="24"/>
      <c r="C54" s="173"/>
      <c r="D54" s="173"/>
      <c r="E54" s="130"/>
      <c r="F54" s="91"/>
    </row>
    <row r="55" spans="1:7" ht="65.2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 ht="19.5" customHeight="1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>
      <c r="A57" s="30" t="s">
        <v>27</v>
      </c>
      <c r="B57" s="31" t="s">
        <v>28</v>
      </c>
      <c r="C57" s="32">
        <f>C58+C59+C60+C61+C62+C64+C63</f>
        <v>1880.068</v>
      </c>
      <c r="D57" s="33">
        <f>D58+D59+D60+D61+D62+D64+D63</f>
        <v>1734.7407799999999</v>
      </c>
      <c r="E57" s="34">
        <f>SUM(D57/C57*100)</f>
        <v>92.270108315231141</v>
      </c>
      <c r="F57" s="34">
        <f>SUM(D57-C57)</f>
        <v>-145.32722000000012</v>
      </c>
    </row>
    <row r="58" spans="1:7" s="6" customFormat="1" ht="0.75" hidden="1" customHeight="1">
      <c r="A58" s="35" t="s">
        <v>29</v>
      </c>
      <c r="B58" s="36" t="s">
        <v>30</v>
      </c>
      <c r="C58" s="37"/>
      <c r="D58" s="37"/>
      <c r="E58" s="38"/>
      <c r="F58" s="38"/>
    </row>
    <row r="59" spans="1:7" ht="18" customHeight="1">
      <c r="A59" s="35" t="s">
        <v>31</v>
      </c>
      <c r="B59" s="39" t="s">
        <v>32</v>
      </c>
      <c r="C59" s="37">
        <v>1853.566</v>
      </c>
      <c r="D59" s="37">
        <v>1718.2387799999999</v>
      </c>
      <c r="E59" s="38">
        <f t="shared" ref="E59:E100" si="3">SUM(D59/C59*100)</f>
        <v>92.699088136057725</v>
      </c>
      <c r="F59" s="38">
        <f t="shared" ref="F59:F100" si="4">SUM(D59-C59)</f>
        <v>-135.32722000000012</v>
      </c>
    </row>
    <row r="60" spans="1:7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7" ht="18" customHeight="1">
      <c r="A64" s="35" t="s">
        <v>41</v>
      </c>
      <c r="B64" s="39" t="s">
        <v>42</v>
      </c>
      <c r="C64" s="37">
        <v>16.501999999999999</v>
      </c>
      <c r="D64" s="37">
        <v>16.501999999999999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264.00599</v>
      </c>
      <c r="D65" s="32">
        <f>D66</f>
        <v>264.00599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264.00599</v>
      </c>
      <c r="D66" s="37">
        <v>264.00599</v>
      </c>
      <c r="E66" s="38">
        <f t="shared" si="3"/>
        <v>100</v>
      </c>
      <c r="F66" s="38">
        <f t="shared" si="4"/>
        <v>0</v>
      </c>
    </row>
    <row r="67" spans="1:7" s="6" customFormat="1" ht="18.75" customHeight="1">
      <c r="A67" s="30" t="s">
        <v>47</v>
      </c>
      <c r="B67" s="31" t="s">
        <v>48</v>
      </c>
      <c r="C67" s="32">
        <f>C71+C70+C69+C68+C72</f>
        <v>18.5</v>
      </c>
      <c r="D67" s="32">
        <f>SUM(D70+D71+D72)</f>
        <v>11.561340000000001</v>
      </c>
      <c r="E67" s="34">
        <f t="shared" si="3"/>
        <v>62.493729729729743</v>
      </c>
      <c r="F67" s="34">
        <f t="shared" si="4"/>
        <v>-6.9386599999999987</v>
      </c>
    </row>
    <row r="68" spans="1:7" hidden="1">
      <c r="A68" s="35" t="s">
        <v>49</v>
      </c>
      <c r="B68" s="39" t="s">
        <v>50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53</v>
      </c>
      <c r="B70" s="47" t="s">
        <v>54</v>
      </c>
      <c r="C70" s="37">
        <v>3</v>
      </c>
      <c r="D70" s="37">
        <v>2.83134</v>
      </c>
      <c r="E70" s="38">
        <f t="shared" si="3"/>
        <v>94.378</v>
      </c>
      <c r="F70" s="38">
        <f t="shared" si="4"/>
        <v>-0.16866000000000003</v>
      </c>
    </row>
    <row r="71" spans="1:7" ht="15.75" customHeight="1">
      <c r="A71" s="46" t="s">
        <v>210</v>
      </c>
      <c r="B71" s="47" t="s">
        <v>211</v>
      </c>
      <c r="C71" s="37">
        <v>13.5</v>
      </c>
      <c r="D71" s="37">
        <v>6.73</v>
      </c>
      <c r="E71" s="38">
        <f>SUM(D71/C71*100)</f>
        <v>49.851851851851855</v>
      </c>
      <c r="F71" s="38">
        <f>SUM(D71-C71)</f>
        <v>-6.77</v>
      </c>
    </row>
    <row r="72" spans="1:7" ht="15.75" customHeight="1">
      <c r="A72" s="46" t="s">
        <v>330</v>
      </c>
      <c r="B72" s="47" t="s">
        <v>385</v>
      </c>
      <c r="C72" s="37">
        <v>2</v>
      </c>
      <c r="D72" s="37">
        <v>2</v>
      </c>
      <c r="E72" s="38"/>
      <c r="F72" s="38"/>
    </row>
    <row r="73" spans="1:7" s="6" customFormat="1">
      <c r="A73" s="30" t="s">
        <v>55</v>
      </c>
      <c r="B73" s="31" t="s">
        <v>56</v>
      </c>
      <c r="C73" s="48">
        <f>SUM(C74:C77)</f>
        <v>7933.1311699999997</v>
      </c>
      <c r="D73" s="48">
        <f>SUM(D74:D77)</f>
        <v>7505.4548999999997</v>
      </c>
      <c r="E73" s="34">
        <f t="shared" si="3"/>
        <v>94.608985269053605</v>
      </c>
      <c r="F73" s="34">
        <f t="shared" si="4"/>
        <v>-427.67626999999993</v>
      </c>
    </row>
    <row r="74" spans="1:7" ht="20.25" customHeight="1">
      <c r="A74" s="35" t="s">
        <v>57</v>
      </c>
      <c r="B74" s="39" t="s">
        <v>58</v>
      </c>
      <c r="C74" s="49">
        <v>14.2926</v>
      </c>
      <c r="D74" s="37">
        <v>14.2926</v>
      </c>
      <c r="E74" s="38">
        <f t="shared" si="3"/>
        <v>100</v>
      </c>
      <c r="F74" s="38">
        <f t="shared" si="4"/>
        <v>0</v>
      </c>
    </row>
    <row r="75" spans="1:7" s="6" customFormat="1" ht="21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7731.5635700000003</v>
      </c>
      <c r="D76" s="37">
        <v>7431.6623</v>
      </c>
      <c r="E76" s="38">
        <f t="shared" si="3"/>
        <v>96.121078650071809</v>
      </c>
      <c r="F76" s="38">
        <f t="shared" si="4"/>
        <v>-299.9012700000003</v>
      </c>
    </row>
    <row r="77" spans="1:7">
      <c r="A77" s="35" t="s">
        <v>63</v>
      </c>
      <c r="B77" s="39" t="s">
        <v>64</v>
      </c>
      <c r="C77" s="49">
        <v>187.27500000000001</v>
      </c>
      <c r="D77" s="37">
        <v>59.5</v>
      </c>
      <c r="E77" s="38">
        <f t="shared" si="3"/>
        <v>31.771459084234415</v>
      </c>
      <c r="F77" s="38">
        <f t="shared" si="4"/>
        <v>-127.77500000000001</v>
      </c>
    </row>
    <row r="78" spans="1:7" s="6" customFormat="1" ht="18" customHeight="1">
      <c r="A78" s="30" t="s">
        <v>65</v>
      </c>
      <c r="B78" s="31" t="s">
        <v>66</v>
      </c>
      <c r="C78" s="32">
        <f>SUM(C79:C82)</f>
        <v>2777.0939900000003</v>
      </c>
      <c r="D78" s="32">
        <f>SUM(D79:D82)</f>
        <v>2203.6188700000002</v>
      </c>
      <c r="E78" s="34">
        <f t="shared" si="3"/>
        <v>79.349812355468757</v>
      </c>
      <c r="F78" s="34">
        <f t="shared" si="4"/>
        <v>-573.47512000000006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customHeight="1">
      <c r="A80" s="35" t="s">
        <v>69</v>
      </c>
      <c r="B80" s="51" t="s">
        <v>70</v>
      </c>
      <c r="C80" s="37">
        <v>1404.96199</v>
      </c>
      <c r="D80" s="37">
        <v>1130.10887</v>
      </c>
      <c r="E80" s="38">
        <f t="shared" si="3"/>
        <v>80.436971109802059</v>
      </c>
      <c r="F80" s="38">
        <f t="shared" si="4"/>
        <v>-274.85311999999999</v>
      </c>
    </row>
    <row r="81" spans="1:6" ht="16.5" customHeight="1">
      <c r="A81" s="35" t="s">
        <v>71</v>
      </c>
      <c r="B81" s="39" t="s">
        <v>72</v>
      </c>
      <c r="C81" s="37">
        <v>1372.1320000000001</v>
      </c>
      <c r="D81" s="37">
        <v>1073.51</v>
      </c>
      <c r="E81" s="38">
        <f t="shared" si="3"/>
        <v>78.236641955730207</v>
      </c>
      <c r="F81" s="38">
        <f t="shared" si="4"/>
        <v>-298.62200000000007</v>
      </c>
    </row>
    <row r="82" spans="1:6" ht="31.5" hidden="1">
      <c r="A82" s="35" t="s">
        <v>247</v>
      </c>
      <c r="B82" s="39" t="s">
        <v>257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>
      <c r="A83" s="30" t="s">
        <v>81</v>
      </c>
      <c r="B83" s="31" t="s">
        <v>82</v>
      </c>
      <c r="C83" s="32">
        <f>C84</f>
        <v>1819.1</v>
      </c>
      <c r="D83" s="32">
        <f>SUM(D84)</f>
        <v>1813.8714</v>
      </c>
      <c r="E83" s="34">
        <f t="shared" si="3"/>
        <v>99.712572151063711</v>
      </c>
      <c r="F83" s="34">
        <f t="shared" si="4"/>
        <v>-5.2285999999999149</v>
      </c>
    </row>
    <row r="84" spans="1:6" ht="16.5" customHeight="1">
      <c r="A84" s="35" t="s">
        <v>83</v>
      </c>
      <c r="B84" s="39" t="s">
        <v>225</v>
      </c>
      <c r="C84" s="37">
        <v>1819.1</v>
      </c>
      <c r="D84" s="37">
        <v>1813.8714</v>
      </c>
      <c r="E84" s="38">
        <f t="shared" si="3"/>
        <v>99.712572151063711</v>
      </c>
      <c r="F84" s="38">
        <f t="shared" si="4"/>
        <v>-5.2285999999999149</v>
      </c>
    </row>
    <row r="85" spans="1:6" s="6" customFormat="1" ht="18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0.75" hidden="1" customHeight="1">
      <c r="A86" s="53">
        <v>1001</v>
      </c>
      <c r="B86" s="54" t="s">
        <v>85</v>
      </c>
      <c r="C86" s="37"/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1003</v>
      </c>
      <c r="B87" s="54" t="s">
        <v>86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9.5" hidden="1" customHeight="1">
      <c r="A88" s="53">
        <v>1004</v>
      </c>
      <c r="B88" s="54" t="s">
        <v>87</v>
      </c>
      <c r="C88" s="37">
        <v>0</v>
      </c>
      <c r="D88" s="32">
        <v>0</v>
      </c>
      <c r="E88" s="38" t="e">
        <f t="shared" si="3"/>
        <v>#DIV/0!</v>
      </c>
      <c r="F88" s="38">
        <f t="shared" si="4"/>
        <v>0</v>
      </c>
    </row>
    <row r="89" spans="1:6" ht="18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C91+C92+C93+C94+C95</f>
        <v>44</v>
      </c>
      <c r="D90" s="32">
        <f>D91+D92+D93+D94+D95</f>
        <v>44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37">
        <v>44</v>
      </c>
      <c r="D91" s="37">
        <v>44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3.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0.75" hidden="1" customHeight="1">
      <c r="A96" s="52">
        <v>1400</v>
      </c>
      <c r="B96" s="56" t="s">
        <v>109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57.75" hidden="1" customHeight="1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5" hidden="1" customHeight="1">
      <c r="A99" s="53">
        <v>1403</v>
      </c>
      <c r="B99" s="54" t="s">
        <v>112</v>
      </c>
      <c r="C99" s="49">
        <v>0</v>
      </c>
      <c r="D99" s="37">
        <v>0</v>
      </c>
      <c r="E99" s="38" t="e">
        <f t="shared" si="3"/>
        <v>#DIV/0!</v>
      </c>
      <c r="F99" s="38">
        <f t="shared" si="4"/>
        <v>0</v>
      </c>
    </row>
    <row r="100" spans="1:6" s="6" customFormat="1" ht="16.5" customHeight="1">
      <c r="A100" s="52"/>
      <c r="B100" s="57" t="s">
        <v>113</v>
      </c>
      <c r="C100" s="243">
        <f>C57+C65+C67+C73+C78+C83+C85+C90+C96</f>
        <v>14735.899149999999</v>
      </c>
      <c r="D100" s="243">
        <f>D57+D65+D67+D73+D78+D83+D85+D90+D96</f>
        <v>13577.253279999999</v>
      </c>
      <c r="E100" s="34">
        <f t="shared" si="3"/>
        <v>92.137257060421717</v>
      </c>
      <c r="F100" s="34">
        <f t="shared" si="4"/>
        <v>-1158.6458700000003</v>
      </c>
    </row>
    <row r="101" spans="1:6" ht="20.25" customHeight="1">
      <c r="C101" s="225"/>
      <c r="D101" s="226"/>
    </row>
    <row r="102" spans="1:6" s="65" customFormat="1" ht="13.5" customHeight="1">
      <c r="A102" s="63" t="s">
        <v>114</v>
      </c>
      <c r="B102" s="63"/>
      <c r="C102" s="64"/>
      <c r="D102" s="64"/>
    </row>
    <row r="103" spans="1:6" s="65" customFormat="1" ht="12.75">
      <c r="A103" s="66" t="s">
        <v>115</v>
      </c>
      <c r="B103" s="66"/>
      <c r="C103" s="132" t="s">
        <v>116</v>
      </c>
      <c r="D103" s="132"/>
    </row>
    <row r="104" spans="1:6" ht="5.25" customHeight="1"/>
    <row r="143" hidden="1"/>
  </sheetData>
  <customSheetViews>
    <customSheetView guid="{61528DAC-5C4C-48F4-ADE2-8A724B05A086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A486C6EE-08B2-475E-8DA1-C3C3163412A9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F1E84C44-1ACD-474A-BDE0-C7088DB6C590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F85EE840-0C31-454A-8951-832C2E9E0600}" scale="70" showPageBreaks="1" hiddenRows="1" state="hidden" view="pageBreakPreview" topLeftCell="A1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5"/>
    </customSheetView>
    <customSheetView guid="{1718F1EE-9F48-4DBE-9531-3B70F9C4A5DD}" scale="70" showPageBreaks="1" hiddenRows="1" view="pageBreakPreview" topLeftCell="A3">
      <selection activeCell="E6" sqref="E6"/>
      <pageMargins left="0.7" right="0.7" top="0.75" bottom="0.75" header="0.3" footer="0.3"/>
      <pageSetup paperSize="9" scale="40" orientation="portrait" r:id="rId6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8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9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10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11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5C539BE6-C8E0-453F-AB5E-9E58094195EA}" scale="70" showPageBreaks="1" hiddenRows="1" view="pageBreakPreview">
      <selection activeCell="D35" sqref="D35"/>
      <pageMargins left="0.70866141732283472" right="0.70866141732283472" top="0.74803149606299213" bottom="0.74803149606299213" header="0.31496062992125984" footer="0.31496062992125984"/>
      <pageSetup paperSize="9" scale="60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4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4" zoomScale="70" zoomScaleNormal="100" zoomScaleSheetLayoutView="70" workbookViewId="0">
      <selection activeCell="D89" sqref="D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627" t="s">
        <v>418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1933.92697</v>
      </c>
      <c r="D4" s="5">
        <f>D5+D12+D14+D17+D7+D20</f>
        <v>1923.4324299999998</v>
      </c>
      <c r="E4" s="5">
        <f>SUM(D4/C4*100)</f>
        <v>99.457345589425231</v>
      </c>
      <c r="F4" s="5">
        <f>SUM(D4-C4)</f>
        <v>-10.494540000000143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190.92481000000001</v>
      </c>
      <c r="E5" s="5">
        <f t="shared" ref="E5:E51" si="0">SUM(D5/C5*100)</f>
        <v>117.85482098765432</v>
      </c>
      <c r="F5" s="5">
        <f t="shared" ref="F5:F48" si="1">SUM(D5-C5)</f>
        <v>28.924810000000008</v>
      </c>
    </row>
    <row r="6" spans="1:6">
      <c r="A6" s="7">
        <v>1010200001</v>
      </c>
      <c r="B6" s="8" t="s">
        <v>220</v>
      </c>
      <c r="C6" s="9">
        <v>162</v>
      </c>
      <c r="D6" s="10">
        <v>190.92481000000001</v>
      </c>
      <c r="E6" s="9">
        <f t="shared" ref="E6:E11" si="2">SUM(D6/C6*100)</f>
        <v>117.85482098765432</v>
      </c>
      <c r="F6" s="9">
        <f t="shared" si="1"/>
        <v>28.924810000000008</v>
      </c>
    </row>
    <row r="7" spans="1:6" ht="31.5">
      <c r="A7" s="3">
        <v>1030000000</v>
      </c>
      <c r="B7" s="13" t="s">
        <v>259</v>
      </c>
      <c r="C7" s="5">
        <f>C8+C10+C9</f>
        <v>779.92696999999998</v>
      </c>
      <c r="D7" s="5">
        <f>D8+D10+D9+D11</f>
        <v>808.97937999999999</v>
      </c>
      <c r="E7" s="9">
        <f t="shared" si="2"/>
        <v>103.72501671534708</v>
      </c>
      <c r="F7" s="9">
        <f t="shared" si="1"/>
        <v>29.052410000000009</v>
      </c>
    </row>
    <row r="8" spans="1:6">
      <c r="A8" s="7">
        <v>1030223001</v>
      </c>
      <c r="B8" s="8" t="s">
        <v>261</v>
      </c>
      <c r="C8" s="9">
        <v>350.88997000000001</v>
      </c>
      <c r="D8" s="10">
        <v>405.54705999999999</v>
      </c>
      <c r="E8" s="9">
        <f t="shared" si="2"/>
        <v>115.57670343213286</v>
      </c>
      <c r="F8" s="9">
        <f t="shared" si="1"/>
        <v>54.657089999999982</v>
      </c>
    </row>
    <row r="9" spans="1:6">
      <c r="A9" s="7">
        <v>1030224001</v>
      </c>
      <c r="B9" s="8" t="s">
        <v>267</v>
      </c>
      <c r="C9" s="9">
        <v>2.7370000000000001</v>
      </c>
      <c r="D9" s="10">
        <v>2.1905800000000002</v>
      </c>
      <c r="E9" s="9">
        <f t="shared" si="2"/>
        <v>80.03580562659846</v>
      </c>
      <c r="F9" s="9">
        <f t="shared" si="1"/>
        <v>-0.54641999999999991</v>
      </c>
    </row>
    <row r="10" spans="1:6">
      <c r="A10" s="7">
        <v>1030225001</v>
      </c>
      <c r="B10" s="8" t="s">
        <v>260</v>
      </c>
      <c r="C10" s="9">
        <v>426.3</v>
      </c>
      <c r="D10" s="10">
        <v>447.76974999999999</v>
      </c>
      <c r="E10" s="9">
        <f t="shared" si="2"/>
        <v>105.03630072718741</v>
      </c>
      <c r="F10" s="9">
        <f t="shared" si="1"/>
        <v>21.469749999999976</v>
      </c>
    </row>
    <row r="11" spans="1:6">
      <c r="A11" s="7">
        <v>1030226001</v>
      </c>
      <c r="B11" s="8" t="s">
        <v>269</v>
      </c>
      <c r="C11" s="9">
        <v>0</v>
      </c>
      <c r="D11" s="10">
        <v>-46.528010000000002</v>
      </c>
      <c r="E11" s="9" t="e">
        <f t="shared" si="2"/>
        <v>#DIV/0!</v>
      </c>
      <c r="F11" s="9">
        <f t="shared" si="1"/>
        <v>-46.528010000000002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221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958</v>
      </c>
      <c r="D14" s="5">
        <f>D15+D16</f>
        <v>914.17953999999997</v>
      </c>
      <c r="E14" s="5">
        <f t="shared" si="0"/>
        <v>95.425839248434229</v>
      </c>
      <c r="F14" s="5">
        <f t="shared" si="1"/>
        <v>-43.820460000000026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199.17413999999999</v>
      </c>
      <c r="E15" s="9">
        <f t="shared" si="0"/>
        <v>100.593</v>
      </c>
      <c r="F15" s="9">
        <f>SUM(D15-C15)</f>
        <v>1.1741399999999942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715.00540000000001</v>
      </c>
      <c r="E16" s="9">
        <f t="shared" si="0"/>
        <v>94.07965789473684</v>
      </c>
      <c r="F16" s="9">
        <f t="shared" si="1"/>
        <v>-44.994599999999991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7.3</v>
      </c>
      <c r="E17" s="5">
        <f t="shared" si="0"/>
        <v>182.5</v>
      </c>
      <c r="F17" s="5">
        <f t="shared" si="1"/>
        <v>3.3</v>
      </c>
    </row>
    <row r="18" spans="1:6" ht="18" customHeight="1">
      <c r="A18" s="7">
        <v>1080400001</v>
      </c>
      <c r="B18" s="8" t="s">
        <v>219</v>
      </c>
      <c r="C18" s="9">
        <v>4</v>
      </c>
      <c r="D18" s="10">
        <v>7.3</v>
      </c>
      <c r="E18" s="9">
        <f t="shared" si="0"/>
        <v>182.5</v>
      </c>
      <c r="F18" s="9">
        <f t="shared" si="1"/>
        <v>3.3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121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675.05020000000002</v>
      </c>
      <c r="D25" s="5">
        <f>D26+D29+D31+D36+D34</f>
        <v>698.76235999999994</v>
      </c>
      <c r="E25" s="5">
        <f t="shared" si="0"/>
        <v>103.5126513554103</v>
      </c>
      <c r="F25" s="5">
        <f t="shared" si="1"/>
        <v>23.712159999999926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213.87064000000001</v>
      </c>
      <c r="D26" s="242">
        <f>D27+D28</f>
        <v>211.31376</v>
      </c>
      <c r="E26" s="5">
        <f t="shared" si="0"/>
        <v>98.804473582722707</v>
      </c>
      <c r="F26" s="5">
        <f t="shared" si="1"/>
        <v>-2.5568800000000067</v>
      </c>
    </row>
    <row r="27" spans="1:6">
      <c r="A27" s="16">
        <v>1110502510</v>
      </c>
      <c r="B27" s="17" t="s">
        <v>217</v>
      </c>
      <c r="C27" s="12">
        <v>207.87064000000001</v>
      </c>
      <c r="D27" s="10">
        <v>204.54</v>
      </c>
      <c r="E27" s="9">
        <f t="shared" si="0"/>
        <v>98.397734283206134</v>
      </c>
      <c r="F27" s="9">
        <f t="shared" si="1"/>
        <v>-3.3306400000000167</v>
      </c>
    </row>
    <row r="28" spans="1:6" ht="18" customHeight="1">
      <c r="A28" s="7">
        <v>1110503510</v>
      </c>
      <c r="B28" s="11" t="s">
        <v>216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>
      <c r="A29" s="68">
        <v>1130000000</v>
      </c>
      <c r="B29" s="69" t="s">
        <v>124</v>
      </c>
      <c r="C29" s="5">
        <f>C30</f>
        <v>10</v>
      </c>
      <c r="D29" s="5">
        <f>D30</f>
        <v>7.5</v>
      </c>
      <c r="E29" s="5">
        <f t="shared" si="0"/>
        <v>75</v>
      </c>
      <c r="F29" s="5">
        <f t="shared" si="1"/>
        <v>-2.5</v>
      </c>
    </row>
    <row r="30" spans="1:6" ht="17.25" customHeight="1">
      <c r="A30" s="7">
        <v>1130206005</v>
      </c>
      <c r="B30" s="8" t="s">
        <v>215</v>
      </c>
      <c r="C30" s="9">
        <v>10</v>
      </c>
      <c r="D30" s="10">
        <v>7.5</v>
      </c>
      <c r="E30" s="9">
        <f t="shared" si="0"/>
        <v>75</v>
      </c>
      <c r="F30" s="9">
        <f t="shared" si="1"/>
        <v>-2.5</v>
      </c>
    </row>
    <row r="31" spans="1:6" ht="23.25" customHeight="1">
      <c r="A31" s="70">
        <v>1140000000</v>
      </c>
      <c r="B31" s="71" t="s">
        <v>125</v>
      </c>
      <c r="C31" s="5">
        <f>C32+C33</f>
        <v>13.4</v>
      </c>
      <c r="D31" s="5">
        <f>D32+D33</f>
        <v>64.994699999999995</v>
      </c>
      <c r="E31" s="5">
        <f t="shared" si="0"/>
        <v>485.03507462686565</v>
      </c>
      <c r="F31" s="5">
        <f t="shared" si="1"/>
        <v>51.594699999999996</v>
      </c>
    </row>
    <row r="32" spans="1:6" ht="22.5" customHeight="1">
      <c r="A32" s="16">
        <v>1140200000</v>
      </c>
      <c r="B32" s="18" t="s">
        <v>213</v>
      </c>
      <c r="C32" s="9">
        <v>13.4</v>
      </c>
      <c r="D32" s="10">
        <v>64.994699999999995</v>
      </c>
      <c r="E32" s="9">
        <f t="shared" si="0"/>
        <v>485.03507462686565</v>
      </c>
      <c r="F32" s="9">
        <f t="shared" si="1"/>
        <v>51.594699999999996</v>
      </c>
    </row>
    <row r="33" spans="1:7" ht="21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236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128</v>
      </c>
      <c r="C36" s="5">
        <f>C37+C38</f>
        <v>437.77956</v>
      </c>
      <c r="D36" s="5">
        <f>D37+D38</f>
        <v>414.95389999999998</v>
      </c>
      <c r="E36" s="5">
        <f t="shared" si="0"/>
        <v>94.786037977652498</v>
      </c>
      <c r="F36" s="5">
        <f t="shared" si="1"/>
        <v>-22.825660000000028</v>
      </c>
    </row>
    <row r="37" spans="1:7" ht="17.25" customHeight="1">
      <c r="A37" s="7">
        <v>1171503010</v>
      </c>
      <c r="B37" s="11" t="s">
        <v>406</v>
      </c>
      <c r="C37" s="9">
        <v>437.77956</v>
      </c>
      <c r="D37" s="9">
        <v>414.95389999999998</v>
      </c>
      <c r="E37" s="9">
        <f t="shared" si="0"/>
        <v>94.786037977652498</v>
      </c>
      <c r="F37" s="9">
        <f t="shared" si="1"/>
        <v>-22.825660000000028</v>
      </c>
    </row>
    <row r="38" spans="1:7" ht="19.5" hidden="1" customHeight="1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2608.9771700000001</v>
      </c>
      <c r="D39" s="125">
        <f>SUM(D4,D25)</f>
        <v>2622.1947899999996</v>
      </c>
      <c r="E39" s="5">
        <f t="shared" si="0"/>
        <v>100.50662076126942</v>
      </c>
      <c r="F39" s="5">
        <f t="shared" si="1"/>
        <v>13.217619999999442</v>
      </c>
    </row>
    <row r="40" spans="1:7" s="6" customFormat="1">
      <c r="A40" s="3">
        <v>2000000000</v>
      </c>
      <c r="B40" s="4" t="s">
        <v>17</v>
      </c>
      <c r="C40" s="224">
        <f>C41+C42+C43+C44+C48+C49</f>
        <v>16619.14644</v>
      </c>
      <c r="D40" s="224">
        <f>D41+D42+D43+D44+D48+D49+D50</f>
        <v>16592.246439999999</v>
      </c>
      <c r="E40" s="5">
        <f t="shared" si="0"/>
        <v>99.838138498284991</v>
      </c>
      <c r="F40" s="5">
        <f t="shared" si="1"/>
        <v>-26.900000000001455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4849.2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10709.737359999999</v>
      </c>
      <c r="E43" s="9">
        <f t="shared" si="0"/>
        <v>99.749456006587138</v>
      </c>
      <c r="F43" s="9">
        <f t="shared" si="1"/>
        <v>-26.900000000001455</v>
      </c>
    </row>
    <row r="44" spans="1:7" ht="18" customHeight="1">
      <c r="A44" s="16">
        <v>2023000000</v>
      </c>
      <c r="B44" s="17" t="s">
        <v>20</v>
      </c>
      <c r="C44" s="12">
        <v>266.97908999999999</v>
      </c>
      <c r="D44" s="180">
        <v>266.97908999999999</v>
      </c>
      <c r="E44" s="9">
        <f t="shared" si="0"/>
        <v>100</v>
      </c>
      <c r="F44" s="9">
        <f t="shared" si="1"/>
        <v>0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766.32998999999995</v>
      </c>
      <c r="D48" s="10">
        <v>766.32998999999995</v>
      </c>
      <c r="E48" s="9">
        <f t="shared" si="0"/>
        <v>100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325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0">
        <f>C39+C40</f>
        <v>19228.123610000002</v>
      </c>
      <c r="D51" s="240">
        <f>SUM(D39,D40,)</f>
        <v>19214.441229999997</v>
      </c>
      <c r="E51" s="5">
        <f t="shared" si="0"/>
        <v>99.928841834608917</v>
      </c>
      <c r="F51" s="5">
        <f>SUM(D51-C51)</f>
        <v>-13.682380000005651</v>
      </c>
      <c r="G51" s="193"/>
    </row>
    <row r="52" spans="1:7" s="6" customFormat="1">
      <c r="A52" s="3"/>
      <c r="B52" s="21" t="s">
        <v>299</v>
      </c>
      <c r="C52" s="240">
        <f>C51-C98</f>
        <v>-659.32935999999609</v>
      </c>
      <c r="D52" s="240">
        <f>D51-D98</f>
        <v>-169.32279000000563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1924.64084</v>
      </c>
      <c r="D56" s="176">
        <f>D57+D58+D59+D60+D61+D63+D62</f>
        <v>1770.5265400000001</v>
      </c>
      <c r="E56" s="34">
        <f>SUM(D56/C56*100)</f>
        <v>91.992568338100938</v>
      </c>
      <c r="F56" s="34">
        <f>SUM(D56-C56)</f>
        <v>-154.11429999999996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1830.51</v>
      </c>
      <c r="D58" s="37">
        <v>1756.3957</v>
      </c>
      <c r="E58" s="38">
        <f t="shared" ref="E58:E98" si="3">SUM(D58/C58*100)</f>
        <v>95.951166614768567</v>
      </c>
      <c r="F58" s="38">
        <f t="shared" ref="F58:F98" si="4">SUM(D58-C58)</f>
        <v>-74.114299999999957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84.130840000000006</v>
      </c>
      <c r="D63" s="37">
        <v>14.130839999999999</v>
      </c>
      <c r="E63" s="38">
        <f t="shared" si="3"/>
        <v>16.796266386975333</v>
      </c>
      <c r="F63" s="38">
        <f t="shared" si="4"/>
        <v>-70</v>
      </c>
    </row>
    <row r="64" spans="1:7" s="6" customFormat="1">
      <c r="A64" s="41" t="s">
        <v>43</v>
      </c>
      <c r="B64" s="42" t="s">
        <v>44</v>
      </c>
      <c r="C64" s="32">
        <f>C65</f>
        <v>266.97908999999999</v>
      </c>
      <c r="D64" s="32">
        <f>D65</f>
        <v>266.97908999999999</v>
      </c>
      <c r="E64" s="34">
        <f>SUM(D64/C64*100)</f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266.97908999999999</v>
      </c>
      <c r="D65" s="37">
        <v>266.97908999999999</v>
      </c>
      <c r="E65" s="258">
        <f>SUM(D65/C65*100)</f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11.87134</v>
      </c>
      <c r="E66" s="34">
        <f t="shared" si="3"/>
        <v>94.97072</v>
      </c>
      <c r="F66" s="34">
        <f t="shared" si="4"/>
        <v>-0.62866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210</v>
      </c>
      <c r="B70" s="47" t="s">
        <v>211</v>
      </c>
      <c r="C70" s="37">
        <v>7.5</v>
      </c>
      <c r="D70" s="37">
        <v>7.04</v>
      </c>
      <c r="E70" s="34">
        <f t="shared" si="3"/>
        <v>93.86666666666666</v>
      </c>
      <c r="F70" s="34">
        <f t="shared" si="4"/>
        <v>-0.45999999999999996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6575.8638799999999</v>
      </c>
      <c r="D72" s="48">
        <f>SUM(D73:D76)</f>
        <v>6540.8638700000001</v>
      </c>
      <c r="E72" s="34">
        <f t="shared" si="3"/>
        <v>99.46775038780153</v>
      </c>
      <c r="F72" s="34">
        <f t="shared" si="4"/>
        <v>-35.000009999999747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5775.8638799999999</v>
      </c>
      <c r="D75" s="37">
        <v>5775.8638700000001</v>
      </c>
      <c r="E75" s="38">
        <f t="shared" si="3"/>
        <v>99.999999826865732</v>
      </c>
      <c r="F75" s="38">
        <f t="shared" si="4"/>
        <v>-9.9999997473787516E-6</v>
      </c>
    </row>
    <row r="76" spans="1:7">
      <c r="A76" s="35" t="s">
        <v>63</v>
      </c>
      <c r="B76" s="39" t="s">
        <v>64</v>
      </c>
      <c r="C76" s="49">
        <v>800</v>
      </c>
      <c r="D76" s="37">
        <v>765</v>
      </c>
      <c r="E76" s="38">
        <f t="shared" si="3"/>
        <v>95.625</v>
      </c>
      <c r="F76" s="38">
        <f t="shared" si="4"/>
        <v>-35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1271.33916</v>
      </c>
      <c r="D77" s="32">
        <f>SUM(D78:D80)</f>
        <v>1020.83318</v>
      </c>
      <c r="E77" s="34">
        <f t="shared" si="3"/>
        <v>80.295896808527473</v>
      </c>
      <c r="F77" s="34">
        <f t="shared" si="4"/>
        <v>-250.50598000000002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310.24400000000003</v>
      </c>
      <c r="D79" s="37">
        <v>280.27269999999999</v>
      </c>
      <c r="E79" s="34">
        <f t="shared" si="3"/>
        <v>90.339442503319958</v>
      </c>
      <c r="F79" s="34">
        <f t="shared" si="4"/>
        <v>-29.971300000000042</v>
      </c>
    </row>
    <row r="80" spans="1:7">
      <c r="A80" s="35" t="s">
        <v>71</v>
      </c>
      <c r="B80" s="39" t="s">
        <v>72</v>
      </c>
      <c r="C80" s="37">
        <v>961.09515999999996</v>
      </c>
      <c r="D80" s="37">
        <v>740.56047999999998</v>
      </c>
      <c r="E80" s="38">
        <f t="shared" si="3"/>
        <v>77.053814317408481</v>
      </c>
      <c r="F80" s="38">
        <f t="shared" si="4"/>
        <v>-220.53467999999998</v>
      </c>
    </row>
    <row r="81" spans="1:6" s="6" customFormat="1">
      <c r="A81" s="30" t="s">
        <v>81</v>
      </c>
      <c r="B81" s="31" t="s">
        <v>82</v>
      </c>
      <c r="C81" s="32">
        <f>C82</f>
        <v>9821.1299999999992</v>
      </c>
      <c r="D81" s="32">
        <f>D82</f>
        <v>9760.19</v>
      </c>
      <c r="E81" s="34">
        <f>SUM(D81/C81*100)</f>
        <v>99.379501136834563</v>
      </c>
      <c r="F81" s="34">
        <f t="shared" si="4"/>
        <v>-60.93999999999869</v>
      </c>
    </row>
    <row r="82" spans="1:6" ht="15.75" customHeight="1">
      <c r="A82" s="35" t="s">
        <v>83</v>
      </c>
      <c r="B82" s="39" t="s">
        <v>225</v>
      </c>
      <c r="C82" s="37">
        <v>9821.1299999999992</v>
      </c>
      <c r="D82" s="37">
        <v>9760.19</v>
      </c>
      <c r="E82" s="38">
        <f>SUM(D82/C82*100)</f>
        <v>99.379501136834563</v>
      </c>
      <c r="F82" s="38">
        <f t="shared" si="4"/>
        <v>-60.93999999999869</v>
      </c>
    </row>
    <row r="83" spans="1:6" s="6" customFormat="1" ht="1.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90</v>
      </c>
      <c r="B88" s="31" t="s">
        <v>91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92</v>
      </c>
      <c r="B89" s="39" t="s">
        <v>93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113</v>
      </c>
      <c r="C98" s="243">
        <f>C56+C64+C66+C72+C77+C81+C83+C88+C94</f>
        <v>19887.452969999998</v>
      </c>
      <c r="D98" s="243">
        <f>D56+D64+D66+D72+D77+D81+D83+D88+D94</f>
        <v>19383.764020000002</v>
      </c>
      <c r="E98" s="34">
        <f t="shared" si="3"/>
        <v>97.467302873023485</v>
      </c>
      <c r="F98" s="34">
        <f t="shared" si="4"/>
        <v>-503.68894999999611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114</v>
      </c>
      <c r="B100" s="63"/>
      <c r="C100" s="178"/>
      <c r="D100" s="178"/>
    </row>
    <row r="101" spans="1:7" s="65" customFormat="1" ht="20.25" customHeight="1">
      <c r="A101" s="66" t="s">
        <v>115</v>
      </c>
      <c r="B101" s="66"/>
      <c r="C101" s="65" t="s">
        <v>116</v>
      </c>
    </row>
    <row r="102" spans="1:7" ht="13.5" customHeight="1">
      <c r="C102" s="118"/>
    </row>
    <row r="103" spans="1:7" ht="5.25" customHeight="1"/>
    <row r="143" hidden="1"/>
  </sheetData>
  <customSheetViews>
    <customSheetView guid="{61528DAC-5C4C-48F4-ADE2-8A724B05A086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A486C6EE-08B2-475E-8DA1-C3C3163412A9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2"/>
    </customSheetView>
    <customSheetView guid="{F1E84C44-1ACD-474A-BDE0-C7088DB6C590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4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5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0" orientation="portrait" r:id="rId6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7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8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9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10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11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5C539BE6-C8E0-453F-AB5E-9E58094195EA}" scale="70" showPageBreaks="1" hiddenRows="1" view="pageBreakPreview" topLeftCell="A37">
      <selection activeCell="C49" sqref="C49"/>
      <pageMargins left="0.70866141732283472" right="0.70866141732283472" top="0.74803149606299213" bottom="0.74803149606299213" header="0.31496062992125984" footer="0.31496062992125984"/>
      <pageSetup paperSize="9" scale="56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4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31" zoomScale="70" zoomScaleNormal="100" zoomScaleSheetLayoutView="70" workbookViewId="0">
      <selection activeCell="C77" sqref="C7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627" t="s">
        <v>417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1837.2266399999999</v>
      </c>
      <c r="D4" s="5">
        <f>D5+D12+D14+D17+D20+D7</f>
        <v>1876.6090900000002</v>
      </c>
      <c r="E4" s="5">
        <f>SUM(D4/C4*100)</f>
        <v>102.14358147996374</v>
      </c>
      <c r="F4" s="5">
        <f>SUM(D4-C4)</f>
        <v>39.38245000000029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173.74345</v>
      </c>
      <c r="E5" s="5">
        <f t="shared" ref="E5:E51" si="0">SUM(D5/C5*100)</f>
        <v>109.27261006289308</v>
      </c>
      <c r="F5" s="5">
        <f t="shared" ref="F5:F51" si="1">SUM(D5-C5)</f>
        <v>14.743449999999996</v>
      </c>
    </row>
    <row r="6" spans="1:6">
      <c r="A6" s="7">
        <v>1010200001</v>
      </c>
      <c r="B6" s="8" t="s">
        <v>220</v>
      </c>
      <c r="C6" s="9">
        <v>159</v>
      </c>
      <c r="D6" s="10">
        <v>173.74345</v>
      </c>
      <c r="E6" s="9">
        <f t="shared" ref="E6:E11" si="2">SUM(D6/C6*100)</f>
        <v>109.27261006289308</v>
      </c>
      <c r="F6" s="9">
        <f t="shared" si="1"/>
        <v>14.743449999999996</v>
      </c>
    </row>
    <row r="7" spans="1:6" ht="31.5">
      <c r="A7" s="3">
        <v>1030000000</v>
      </c>
      <c r="B7" s="13" t="s">
        <v>259</v>
      </c>
      <c r="C7" s="5">
        <f>C8+C10+C9</f>
        <v>938.22663999999997</v>
      </c>
      <c r="D7" s="5">
        <f>D8+D10+D9+D11</f>
        <v>1084.23377</v>
      </c>
      <c r="E7" s="5">
        <f t="shared" si="2"/>
        <v>115.56203200540118</v>
      </c>
      <c r="F7" s="5">
        <f t="shared" si="1"/>
        <v>146.00713000000007</v>
      </c>
    </row>
    <row r="8" spans="1:6">
      <c r="A8" s="7">
        <v>1030223001</v>
      </c>
      <c r="B8" s="8" t="s">
        <v>261</v>
      </c>
      <c r="C8" s="9">
        <v>363.20564000000002</v>
      </c>
      <c r="D8" s="10">
        <v>543.53403000000003</v>
      </c>
      <c r="E8" s="9">
        <f t="shared" si="2"/>
        <v>149.64911613156667</v>
      </c>
      <c r="F8" s="9">
        <f t="shared" si="1"/>
        <v>180.32839000000001</v>
      </c>
    </row>
    <row r="9" spans="1:6">
      <c r="A9" s="7">
        <v>1030224001</v>
      </c>
      <c r="B9" s="8" t="s">
        <v>267</v>
      </c>
      <c r="C9" s="9">
        <v>3.6680000000000001</v>
      </c>
      <c r="D9" s="10">
        <v>2.9359299999999999</v>
      </c>
      <c r="E9" s="9">
        <f>SUM(D9/C9*100)</f>
        <v>80.041712104689196</v>
      </c>
      <c r="F9" s="9">
        <f t="shared" si="1"/>
        <v>-0.73207000000000022</v>
      </c>
    </row>
    <row r="10" spans="1:6">
      <c r="A10" s="7">
        <v>1030225001</v>
      </c>
      <c r="B10" s="8" t="s">
        <v>260</v>
      </c>
      <c r="C10" s="9">
        <v>571.35299999999995</v>
      </c>
      <c r="D10" s="10">
        <v>600.12294999999995</v>
      </c>
      <c r="E10" s="9">
        <f t="shared" si="2"/>
        <v>105.0354071825999</v>
      </c>
      <c r="F10" s="9">
        <f t="shared" si="1"/>
        <v>28.769949999999994</v>
      </c>
    </row>
    <row r="11" spans="1:6">
      <c r="A11" s="7">
        <v>1030226001</v>
      </c>
      <c r="B11" s="8" t="s">
        <v>269</v>
      </c>
      <c r="C11" s="9">
        <v>0</v>
      </c>
      <c r="D11" s="10">
        <v>-62.359139999999996</v>
      </c>
      <c r="E11" s="9" t="e">
        <f t="shared" si="2"/>
        <v>#DIV/0!</v>
      </c>
      <c r="F11" s="9">
        <f t="shared" si="1"/>
        <v>-62.359139999999996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221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702</v>
      </c>
      <c r="D14" s="5">
        <f>D15+D16</f>
        <v>606.54987000000006</v>
      </c>
      <c r="E14" s="5">
        <f t="shared" si="0"/>
        <v>86.40311538461539</v>
      </c>
      <c r="F14" s="5">
        <f t="shared" si="1"/>
        <v>-95.450129999999945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179.51551000000001</v>
      </c>
      <c r="E15" s="9">
        <f t="shared" si="0"/>
        <v>72.67834412955466</v>
      </c>
      <c r="F15" s="9">
        <f>SUM(D15-C15)</f>
        <v>-67.484489999999994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427.03435999999999</v>
      </c>
      <c r="E16" s="9">
        <f t="shared" si="0"/>
        <v>93.85370549450549</v>
      </c>
      <c r="F16" s="9">
        <f t="shared" si="1"/>
        <v>-27.965640000000008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6.1</v>
      </c>
      <c r="E17" s="5">
        <f t="shared" si="0"/>
        <v>76.25</v>
      </c>
      <c r="F17" s="5">
        <f t="shared" si="1"/>
        <v>-1.9000000000000004</v>
      </c>
    </row>
    <row r="18" spans="1:6" ht="17.25" customHeight="1">
      <c r="A18" s="7">
        <v>1080400001</v>
      </c>
      <c r="B18" s="8" t="s">
        <v>219</v>
      </c>
      <c r="C18" s="9">
        <v>8</v>
      </c>
      <c r="D18" s="10">
        <v>6.1</v>
      </c>
      <c r="E18" s="9">
        <f t="shared" si="0"/>
        <v>76.25</v>
      </c>
      <c r="F18" s="9">
        <f t="shared" si="1"/>
        <v>-1.9000000000000004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326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1036.78856</v>
      </c>
      <c r="D25" s="5">
        <f>D26+D29+D32+D37+D35</f>
        <v>1680.9267699999998</v>
      </c>
      <c r="E25" s="5">
        <f t="shared" si="0"/>
        <v>162.12821349031859</v>
      </c>
      <c r="F25" s="5">
        <f t="shared" si="1"/>
        <v>644.13820999999984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350</v>
      </c>
      <c r="D26" s="5">
        <f>D27+D28</f>
        <v>568.55408</v>
      </c>
      <c r="E26" s="5">
        <f t="shared" si="0"/>
        <v>162.44402285714287</v>
      </c>
      <c r="F26" s="5">
        <f t="shared" si="1"/>
        <v>218.55408</v>
      </c>
    </row>
    <row r="27" spans="1:6">
      <c r="A27" s="16">
        <v>1110502510</v>
      </c>
      <c r="B27" s="17" t="s">
        <v>217</v>
      </c>
      <c r="C27" s="12">
        <v>320</v>
      </c>
      <c r="D27" s="10">
        <v>488.11329999999998</v>
      </c>
      <c r="E27" s="9">
        <f t="shared" si="0"/>
        <v>152.53540624999999</v>
      </c>
      <c r="F27" s="9">
        <f t="shared" si="1"/>
        <v>168.11329999999998</v>
      </c>
    </row>
    <row r="28" spans="1:6" ht="18" customHeight="1">
      <c r="A28" s="7">
        <v>1110503505</v>
      </c>
      <c r="B28" s="11" t="s">
        <v>216</v>
      </c>
      <c r="C28" s="12">
        <v>30</v>
      </c>
      <c r="D28" s="10">
        <v>80.440780000000004</v>
      </c>
      <c r="E28" s="9">
        <f t="shared" si="0"/>
        <v>268.13593333333336</v>
      </c>
      <c r="F28" s="9">
        <f t="shared" si="1"/>
        <v>50.440780000000004</v>
      </c>
    </row>
    <row r="29" spans="1:6" s="15" customFormat="1" ht="18" customHeight="1">
      <c r="A29" s="68">
        <v>1130000000</v>
      </c>
      <c r="B29" s="69" t="s">
        <v>124</v>
      </c>
      <c r="C29" s="5">
        <f>C30+C31</f>
        <v>130</v>
      </c>
      <c r="D29" s="5">
        <f>D30+D31</f>
        <v>137.39689000000001</v>
      </c>
      <c r="E29" s="5">
        <f t="shared" si="0"/>
        <v>105.68991538461539</v>
      </c>
      <c r="F29" s="5">
        <f t="shared" si="1"/>
        <v>7.3968900000000133</v>
      </c>
    </row>
    <row r="30" spans="1:6" ht="15.75" customHeight="1">
      <c r="A30" s="7">
        <v>1130206510</v>
      </c>
      <c r="B30" s="8" t="s">
        <v>313</v>
      </c>
      <c r="C30" s="9">
        <v>130</v>
      </c>
      <c r="D30" s="204">
        <v>75.796890000000005</v>
      </c>
      <c r="E30" s="9">
        <f t="shared" si="0"/>
        <v>58.305300000000003</v>
      </c>
      <c r="F30" s="9">
        <f t="shared" si="1"/>
        <v>-54.203109999999995</v>
      </c>
    </row>
    <row r="31" spans="1:6" ht="17.25" customHeight="1">
      <c r="A31" s="7">
        <v>1130299510</v>
      </c>
      <c r="B31" s="8" t="s">
        <v>327</v>
      </c>
      <c r="C31" s="9">
        <v>0</v>
      </c>
      <c r="D31" s="204">
        <v>61.6</v>
      </c>
      <c r="E31" s="9" t="e">
        <f>SUM(D31/C31*100)</f>
        <v>#DIV/0!</v>
      </c>
      <c r="F31" s="9">
        <f>SUM(D31-C31)</f>
        <v>61.6</v>
      </c>
    </row>
    <row r="32" spans="1:6" ht="15.75" customHeight="1">
      <c r="A32" s="70">
        <v>1140000000</v>
      </c>
      <c r="B32" s="71" t="s">
        <v>125</v>
      </c>
      <c r="C32" s="5">
        <f>C33+C34</f>
        <v>32.252499999999998</v>
      </c>
      <c r="D32" s="5">
        <f>D33+D34</f>
        <v>32.252499999999998</v>
      </c>
      <c r="E32" s="5">
        <f t="shared" si="0"/>
        <v>100</v>
      </c>
      <c r="F32" s="5">
        <f t="shared" si="1"/>
        <v>0</v>
      </c>
    </row>
    <row r="33" spans="1:7" ht="15.75" customHeight="1">
      <c r="A33" s="16">
        <v>1140200000</v>
      </c>
      <c r="B33" s="18" t="s">
        <v>126</v>
      </c>
      <c r="C33" s="9">
        <v>32.252499999999998</v>
      </c>
      <c r="D33" s="10">
        <v>32.252499999999998</v>
      </c>
      <c r="E33" s="9">
        <f t="shared" si="0"/>
        <v>100</v>
      </c>
      <c r="F33" s="9">
        <f t="shared" si="1"/>
        <v>0</v>
      </c>
    </row>
    <row r="34" spans="1:7" ht="18" customHeight="1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236</v>
      </c>
      <c r="C35" s="14">
        <f>C36</f>
        <v>10.63425</v>
      </c>
      <c r="D35" s="14">
        <f>D36</f>
        <v>27.535329999999998</v>
      </c>
      <c r="E35" s="5">
        <f>SUM(D35/C35*100)</f>
        <v>258.93062510285165</v>
      </c>
      <c r="F35" s="5">
        <f>SUM(D35-C35)</f>
        <v>16.90108</v>
      </c>
    </row>
    <row r="36" spans="1:7" ht="35.25" customHeight="1">
      <c r="A36" s="7">
        <v>1160701010</v>
      </c>
      <c r="B36" s="8" t="s">
        <v>404</v>
      </c>
      <c r="C36" s="9">
        <v>10.63425</v>
      </c>
      <c r="D36" s="10">
        <v>27.535329999999998</v>
      </c>
      <c r="E36" s="9">
        <f>SUM(D36/C36*100)</f>
        <v>258.93062510285165</v>
      </c>
      <c r="F36" s="9">
        <f>SUM(D36-C36)</f>
        <v>16.90108</v>
      </c>
    </row>
    <row r="37" spans="1:7" ht="15.75" customHeight="1">
      <c r="A37" s="3"/>
      <c r="B37" s="13" t="s">
        <v>128</v>
      </c>
      <c r="C37" s="5">
        <f>C38+C39</f>
        <v>513.90180999999995</v>
      </c>
      <c r="D37" s="5">
        <f>D38+D39</f>
        <v>915.18796999999995</v>
      </c>
      <c r="E37" s="5">
        <f t="shared" si="0"/>
        <v>178.08615424024291</v>
      </c>
      <c r="F37" s="5">
        <f t="shared" si="1"/>
        <v>401.28616</v>
      </c>
    </row>
    <row r="38" spans="1:7" ht="16.5" customHeight="1">
      <c r="A38" s="7">
        <v>1171503010</v>
      </c>
      <c r="B38" s="11" t="s">
        <v>406</v>
      </c>
      <c r="C38" s="9">
        <v>513.90180999999995</v>
      </c>
      <c r="D38" s="9">
        <v>915.18796999999995</v>
      </c>
      <c r="E38" s="9">
        <f t="shared" si="0"/>
        <v>178.08615424024291</v>
      </c>
      <c r="F38" s="9">
        <f t="shared" si="1"/>
        <v>401.28616</v>
      </c>
    </row>
    <row r="39" spans="1:7" ht="16.5" hidden="1" customHeight="1">
      <c r="A39" s="7">
        <v>1170505005</v>
      </c>
      <c r="B39" s="11" t="s">
        <v>212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2874.0151999999998</v>
      </c>
      <c r="D40" s="125">
        <f>D4+D25</f>
        <v>3557.53586</v>
      </c>
      <c r="E40" s="5">
        <f t="shared" si="0"/>
        <v>123.7827781843325</v>
      </c>
      <c r="F40" s="5">
        <f t="shared" si="1"/>
        <v>683.52066000000013</v>
      </c>
    </row>
    <row r="41" spans="1:7" s="6" customFormat="1">
      <c r="A41" s="3">
        <v>2000000000</v>
      </c>
      <c r="B41" s="4" t="s">
        <v>17</v>
      </c>
      <c r="C41" s="224">
        <f>C42+C43+C44+C45+C46+C48</f>
        <v>8452.049579999999</v>
      </c>
      <c r="D41" s="224">
        <f>D42+D43+D44+D45+D46+D48+D49</f>
        <v>8452.0170199999993</v>
      </c>
      <c r="E41" s="5">
        <f t="shared" si="0"/>
        <v>99.999614767995723</v>
      </c>
      <c r="F41" s="5">
        <f t="shared" si="1"/>
        <v>-3.2559999999648426E-2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2338.6999999999998</v>
      </c>
      <c r="E42" s="9">
        <f t="shared" si="0"/>
        <v>100</v>
      </c>
      <c r="F42" s="9">
        <f t="shared" si="1"/>
        <v>0</v>
      </c>
    </row>
    <row r="43" spans="1:7" ht="15.75" hidden="1" customHeight="1">
      <c r="A43" s="16">
        <v>2021500200</v>
      </c>
      <c r="B43" s="17" t="s">
        <v>223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4937.9274500000001</v>
      </c>
      <c r="D44" s="10">
        <v>4937.9274500000001</v>
      </c>
      <c r="E44" s="9">
        <f t="shared" si="0"/>
        <v>100</v>
      </c>
      <c r="F44" s="9">
        <f t="shared" si="1"/>
        <v>0</v>
      </c>
    </row>
    <row r="45" spans="1:7" ht="18" customHeight="1">
      <c r="A45" s="16">
        <v>2023000000</v>
      </c>
      <c r="B45" s="17" t="s">
        <v>20</v>
      </c>
      <c r="C45" s="12">
        <v>110.18913000000001</v>
      </c>
      <c r="D45" s="180">
        <v>110.18913000000001</v>
      </c>
      <c r="E45" s="9">
        <f t="shared" si="0"/>
        <v>100</v>
      </c>
      <c r="F45" s="9">
        <f t="shared" si="1"/>
        <v>0</v>
      </c>
    </row>
    <row r="46" spans="1:7" ht="19.5" customHeight="1">
      <c r="A46" s="16">
        <v>2020400000</v>
      </c>
      <c r="B46" s="17" t="s">
        <v>21</v>
      </c>
      <c r="C46" s="12">
        <v>1065.2329999999999</v>
      </c>
      <c r="D46" s="181">
        <v>1065.2004400000001</v>
      </c>
      <c r="E46" s="9">
        <f t="shared" si="0"/>
        <v>99.996943391727456</v>
      </c>
      <c r="F46" s="9">
        <f t="shared" si="1"/>
        <v>-3.2559999999875799E-2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16">
        <v>2070500010</v>
      </c>
      <c r="B48" s="8" t="s">
        <v>325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11326.064779999999</v>
      </c>
      <c r="D51" s="240">
        <f>D40+D41</f>
        <v>12009.552879999999</v>
      </c>
      <c r="E51" s="92">
        <f t="shared" si="0"/>
        <v>106.0346476316022</v>
      </c>
      <c r="F51" s="92">
        <f t="shared" si="1"/>
        <v>683.48810000000049</v>
      </c>
      <c r="G51" s="193">
        <f>7662.29943-C51</f>
        <v>-3663.7653499999988</v>
      </c>
      <c r="H51" s="193">
        <f>1130.4405-D51</f>
        <v>-10879.112379999999</v>
      </c>
    </row>
    <row r="52" spans="1:8" s="6" customFormat="1">
      <c r="A52" s="3"/>
      <c r="B52" s="21" t="s">
        <v>299</v>
      </c>
      <c r="C52" s="92">
        <f>C51-C98</f>
        <v>-530.02748000000065</v>
      </c>
      <c r="D52" s="92">
        <f>D51-D98</f>
        <v>349.77110999999968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1352.6250599999998</v>
      </c>
      <c r="D56" s="33">
        <f>D57+D58+D59+D60+D61+D63+D62</f>
        <v>1336.08367</v>
      </c>
      <c r="E56" s="34">
        <f>SUM(D56/C56*100)</f>
        <v>98.777089787172812</v>
      </c>
      <c r="F56" s="34">
        <f>SUM(D56-C56)</f>
        <v>-16.541389999999865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1347.6690599999999</v>
      </c>
      <c r="D58" s="37">
        <v>1332.1276700000001</v>
      </c>
      <c r="E58" s="38">
        <f t="shared" ref="E58:E98" si="3">SUM(D58/C58*100)</f>
        <v>98.846794776159669</v>
      </c>
      <c r="F58" s="38">
        <f t="shared" ref="F58:F98" si="4">SUM(D58-C58)</f>
        <v>-15.541389999999865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0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110.18913000000001</v>
      </c>
      <c r="D64" s="32">
        <f>D65</f>
        <v>110.18913000000001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110.18913000000001</v>
      </c>
      <c r="D65" s="37">
        <v>110.18913000000001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7.6313399999999998</v>
      </c>
      <c r="D66" s="251">
        <f>D69+D70+D71</f>
        <v>7.6313399999999998</v>
      </c>
      <c r="E66" s="34">
        <f t="shared" si="3"/>
        <v>100</v>
      </c>
      <c r="F66" s="34">
        <f t="shared" si="4"/>
        <v>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2.83134</v>
      </c>
      <c r="D69" s="37">
        <v>2.83134</v>
      </c>
      <c r="E69" s="34">
        <f t="shared" si="3"/>
        <v>100</v>
      </c>
      <c r="F69" s="34">
        <f t="shared" si="4"/>
        <v>0</v>
      </c>
    </row>
    <row r="70" spans="1:7" ht="15.75" customHeight="1">
      <c r="A70" s="46" t="s">
        <v>210</v>
      </c>
      <c r="B70" s="47" t="s">
        <v>211</v>
      </c>
      <c r="C70" s="37">
        <v>2.8</v>
      </c>
      <c r="D70" s="37">
        <v>2.8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5377.79259</v>
      </c>
      <c r="D72" s="48">
        <f>SUM(D73:D77)</f>
        <v>5328.9064600000002</v>
      </c>
      <c r="E72" s="34">
        <f t="shared" si="3"/>
        <v>99.090962896358192</v>
      </c>
      <c r="F72" s="34">
        <f t="shared" si="4"/>
        <v>-48.886129999999866</v>
      </c>
    </row>
    <row r="73" spans="1:7" ht="15" hidden="1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.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4925.79259</v>
      </c>
      <c r="D76" s="37">
        <v>4891.9064600000002</v>
      </c>
      <c r="E76" s="38">
        <f t="shared" si="3"/>
        <v>99.312067461614333</v>
      </c>
      <c r="F76" s="38">
        <f t="shared" si="4"/>
        <v>-33.886129999999866</v>
      </c>
    </row>
    <row r="77" spans="1:7">
      <c r="A77" s="35" t="s">
        <v>63</v>
      </c>
      <c r="B77" s="39" t="s">
        <v>64</v>
      </c>
      <c r="C77" s="49">
        <v>452</v>
      </c>
      <c r="D77" s="37">
        <v>437</v>
      </c>
      <c r="E77" s="38">
        <f t="shared" si="3"/>
        <v>96.681415929203538</v>
      </c>
      <c r="F77" s="38">
        <f t="shared" si="4"/>
        <v>-15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3897.7041399999998</v>
      </c>
      <c r="D78" s="32">
        <f>SUM(D79:D81)</f>
        <v>3782.8211700000002</v>
      </c>
      <c r="E78" s="34">
        <f t="shared" si="3"/>
        <v>97.052547708251666</v>
      </c>
      <c r="F78" s="34">
        <f t="shared" si="4"/>
        <v>-114.88296999999966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2876.9023499999998</v>
      </c>
      <c r="D80" s="37">
        <v>2762.0543400000001</v>
      </c>
      <c r="E80" s="38">
        <f t="shared" si="3"/>
        <v>96.007928110594378</v>
      </c>
      <c r="F80" s="38">
        <f t="shared" si="4"/>
        <v>-114.8480099999997</v>
      </c>
    </row>
    <row r="81" spans="1:6">
      <c r="A81" s="35" t="s">
        <v>71</v>
      </c>
      <c r="B81" s="39" t="s">
        <v>72</v>
      </c>
      <c r="C81" s="37">
        <v>1020.80179</v>
      </c>
      <c r="D81" s="37">
        <v>1020.76683</v>
      </c>
      <c r="E81" s="38">
        <f t="shared" si="3"/>
        <v>99.996575241115124</v>
      </c>
      <c r="F81" s="38">
        <f t="shared" si="4"/>
        <v>-3.4959999999955471E-2</v>
      </c>
    </row>
    <row r="82" spans="1:6" s="6" customFormat="1" ht="32.25" customHeight="1">
      <c r="A82" s="30" t="s">
        <v>81</v>
      </c>
      <c r="B82" s="31" t="s">
        <v>82</v>
      </c>
      <c r="C82" s="32">
        <f>C83</f>
        <v>1099.1500000000001</v>
      </c>
      <c r="D82" s="32">
        <f>D83</f>
        <v>1083.1500000000001</v>
      </c>
      <c r="E82" s="34">
        <f t="shared" si="3"/>
        <v>98.544329709320849</v>
      </c>
      <c r="F82" s="34">
        <f t="shared" si="4"/>
        <v>-16</v>
      </c>
    </row>
    <row r="83" spans="1:6" ht="14.25" customHeight="1">
      <c r="A83" s="35" t="s">
        <v>83</v>
      </c>
      <c r="B83" s="39" t="s">
        <v>225</v>
      </c>
      <c r="C83" s="37">
        <v>1099.1500000000001</v>
      </c>
      <c r="D83" s="37">
        <v>1083.1500000000001</v>
      </c>
      <c r="E83" s="38">
        <f t="shared" si="3"/>
        <v>98.544329709320849</v>
      </c>
      <c r="F83" s="38">
        <f t="shared" si="4"/>
        <v>-16</v>
      </c>
    </row>
    <row r="84" spans="1:6" s="6" customFormat="1" ht="18.75" customHeight="1">
      <c r="A84" s="52">
        <v>1000</v>
      </c>
      <c r="B84" s="31" t="s">
        <v>84</v>
      </c>
      <c r="C84" s="32">
        <f>SUM(C85:C88)</f>
        <v>9</v>
      </c>
      <c r="D84" s="32">
        <f>SUM(D85:D88)</f>
        <v>9</v>
      </c>
      <c r="E84" s="34">
        <f t="shared" si="3"/>
        <v>100</v>
      </c>
      <c r="F84" s="34">
        <f t="shared" si="4"/>
        <v>0</v>
      </c>
    </row>
    <row r="85" spans="1:6" ht="1.5" customHeight="1">
      <c r="A85" s="53">
        <v>1001</v>
      </c>
      <c r="B85" s="54" t="s">
        <v>85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customHeight="1">
      <c r="A86" s="53">
        <v>1003</v>
      </c>
      <c r="B86" s="54" t="s">
        <v>86</v>
      </c>
      <c r="C86" s="37">
        <v>9</v>
      </c>
      <c r="D86" s="37">
        <v>9</v>
      </c>
      <c r="E86" s="38">
        <f t="shared" si="3"/>
        <v>100</v>
      </c>
      <c r="F86" s="38">
        <f t="shared" si="4"/>
        <v>0</v>
      </c>
    </row>
    <row r="87" spans="1:6" ht="0.7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30.75" hidden="1" customHeight="1">
      <c r="A89" s="35" t="s">
        <v>92</v>
      </c>
      <c r="B89" s="39" t="s">
        <v>93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29.2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9.2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.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25.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109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90</v>
      </c>
      <c r="B96" s="31" t="s">
        <v>91</v>
      </c>
      <c r="C96" s="48">
        <f>C97</f>
        <v>2</v>
      </c>
      <c r="D96" s="32">
        <f>D97</f>
        <v>2</v>
      </c>
      <c r="E96" s="34">
        <f t="shared" si="3"/>
        <v>100</v>
      </c>
      <c r="F96" s="34">
        <f t="shared" si="4"/>
        <v>0</v>
      </c>
    </row>
    <row r="97" spans="1:8" ht="18" customHeight="1">
      <c r="A97" s="35" t="s">
        <v>92</v>
      </c>
      <c r="B97" s="39" t="s">
        <v>93</v>
      </c>
      <c r="C97" s="49">
        <v>2</v>
      </c>
      <c r="D97" s="37">
        <v>2</v>
      </c>
      <c r="E97" s="38">
        <f t="shared" si="3"/>
        <v>100</v>
      </c>
      <c r="F97" s="38">
        <f t="shared" si="4"/>
        <v>0</v>
      </c>
    </row>
    <row r="98" spans="1:8" s="6" customFormat="1">
      <c r="A98" s="52"/>
      <c r="B98" s="57" t="s">
        <v>113</v>
      </c>
      <c r="C98" s="243">
        <f>C56+C64+C66+C72+C78+C82+C96+C84</f>
        <v>11856.092259999999</v>
      </c>
      <c r="D98" s="243">
        <f>D56+D64+D66+D72+D78+D82+D96+D84</f>
        <v>11659.78177</v>
      </c>
      <c r="E98" s="34">
        <f t="shared" si="3"/>
        <v>98.344222651992084</v>
      </c>
      <c r="F98" s="34">
        <f t="shared" si="4"/>
        <v>-196.31048999999985</v>
      </c>
      <c r="G98" s="193">
        <f>8096.52307-C98</f>
        <v>-3759.5691899999993</v>
      </c>
      <c r="H98" s="193">
        <f>899.25122-D98</f>
        <v>-10760.530549999999</v>
      </c>
    </row>
    <row r="99" spans="1:8" ht="16.5" customHeight="1">
      <c r="C99" s="124"/>
      <c r="D99" s="100"/>
    </row>
    <row r="100" spans="1:8" s="65" customFormat="1" ht="20.25" customHeight="1">
      <c r="A100" s="63" t="s">
        <v>114</v>
      </c>
      <c r="B100" s="63"/>
      <c r="C100" s="114"/>
      <c r="D100" s="64" t="s">
        <v>256</v>
      </c>
    </row>
    <row r="101" spans="1:8" s="65" customFormat="1" ht="13.5" customHeight="1">
      <c r="A101" s="66" t="s">
        <v>115</v>
      </c>
      <c r="B101" s="66"/>
      <c r="C101" s="65" t="s">
        <v>116</v>
      </c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A486C6EE-08B2-475E-8DA1-C3C3163412A9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2"/>
    </customSheetView>
    <customSheetView guid="{F1E84C44-1ACD-474A-BDE0-C7088DB6C590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F85EE840-0C31-454A-8951-832C2E9E0600}" scale="70" showPageBreaks="1" printArea="1" hiddenRows="1" state="hidden" view="pageBreakPreview" topLeftCell="A4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7" orientation="portrait" r:id="rId4"/>
    </customSheetView>
    <customSheetView guid="{3DCB9AAA-F09C-4EA6-B992-F93E466D374A}" printArea="1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6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7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8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9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10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11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5C539BE6-C8E0-453F-AB5E-9E58094195EA}" scale="70" showPageBreaks="1" printArea="1" hiddenRows="1" view="pageBreakPreview" topLeftCell="A31">
      <selection activeCell="A35" sqref="A35:B35"/>
      <pageMargins left="0.70866141732283472" right="0.70866141732283472" top="0.74803149606299213" bottom="0.74803149606299213" header="0.31496062992125984" footer="0.31496062992125984"/>
      <pageSetup paperSize="9" scale="57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4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19" zoomScale="70" zoomScaleNormal="100" zoomScaleSheetLayoutView="70" workbookViewId="0">
      <selection activeCell="C86" sqref="C86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9.42578125" style="62" customWidth="1"/>
    <col min="5" max="5" width="10.28515625" style="62" customWidth="1"/>
    <col min="6" max="6" width="12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627" t="s">
        <v>416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1125.3793599999999</v>
      </c>
      <c r="E4" s="5">
        <f>SUM(D4/C4*100)</f>
        <v>98.740873715704595</v>
      </c>
      <c r="F4" s="5">
        <f>SUM(D4-C4)</f>
        <v>-14.350640000000112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86.457999999999998</v>
      </c>
      <c r="E5" s="5">
        <f t="shared" ref="E5:E48" si="0">SUM(D5/C5*100)</f>
        <v>77.890090090090098</v>
      </c>
      <c r="F5" s="5">
        <f t="shared" ref="F5:F48" si="1">SUM(D5-C5)</f>
        <v>-24.542000000000002</v>
      </c>
    </row>
    <row r="6" spans="1:6">
      <c r="A6" s="7">
        <v>1010200001</v>
      </c>
      <c r="B6" s="8" t="s">
        <v>220</v>
      </c>
      <c r="C6" s="9">
        <v>111</v>
      </c>
      <c r="D6" s="10">
        <v>86.457999999999998</v>
      </c>
      <c r="E6" s="9">
        <f t="shared" ref="E6:E11" si="2">SUM(D6/C6*100)</f>
        <v>77.890090090090098</v>
      </c>
      <c r="F6" s="9">
        <f t="shared" si="1"/>
        <v>-24.542000000000002</v>
      </c>
    </row>
    <row r="7" spans="1:6" ht="31.5">
      <c r="A7" s="3">
        <v>1030000000</v>
      </c>
      <c r="B7" s="13" t="s">
        <v>259</v>
      </c>
      <c r="C7" s="5">
        <f>C8+C10+C9</f>
        <v>428.72999999999996</v>
      </c>
      <c r="D7" s="5">
        <f>D8+D10+D9+D11</f>
        <v>506.87091000000004</v>
      </c>
      <c r="E7" s="5">
        <f t="shared" si="2"/>
        <v>118.22613532992794</v>
      </c>
      <c r="F7" s="5">
        <f t="shared" si="1"/>
        <v>78.140910000000076</v>
      </c>
    </row>
    <row r="8" spans="1:6">
      <c r="A8" s="7">
        <v>1030223001</v>
      </c>
      <c r="B8" s="8" t="s">
        <v>261</v>
      </c>
      <c r="C8" s="9">
        <v>159.916</v>
      </c>
      <c r="D8" s="10">
        <v>254.09796</v>
      </c>
      <c r="E8" s="9">
        <f t="shared" si="2"/>
        <v>158.89464468846143</v>
      </c>
      <c r="F8" s="9">
        <f t="shared" si="1"/>
        <v>94.181960000000004</v>
      </c>
    </row>
    <row r="9" spans="1:6">
      <c r="A9" s="7">
        <v>1030224001</v>
      </c>
      <c r="B9" s="8" t="s">
        <v>267</v>
      </c>
      <c r="C9" s="9">
        <v>1.7150000000000001</v>
      </c>
      <c r="D9" s="10">
        <v>1.37252</v>
      </c>
      <c r="E9" s="9">
        <f t="shared" si="2"/>
        <v>80.03032069970844</v>
      </c>
      <c r="F9" s="9">
        <f t="shared" si="1"/>
        <v>-0.34248000000000012</v>
      </c>
    </row>
    <row r="10" spans="1:6">
      <c r="A10" s="7">
        <v>1030225001</v>
      </c>
      <c r="B10" s="8" t="s">
        <v>260</v>
      </c>
      <c r="C10" s="9">
        <v>267.09899999999999</v>
      </c>
      <c r="D10" s="10">
        <v>280.55284</v>
      </c>
      <c r="E10" s="9">
        <f t="shared" si="2"/>
        <v>105.03702372528538</v>
      </c>
      <c r="F10" s="9">
        <f t="shared" si="1"/>
        <v>13.453840000000014</v>
      </c>
    </row>
    <row r="11" spans="1:6">
      <c r="A11" s="7">
        <v>1030226001</v>
      </c>
      <c r="B11" s="8" t="s">
        <v>269</v>
      </c>
      <c r="C11" s="9">
        <v>0</v>
      </c>
      <c r="D11" s="10">
        <v>-29.15241</v>
      </c>
      <c r="E11" s="9" t="e">
        <f t="shared" si="2"/>
        <v>#DIV/0!</v>
      </c>
      <c r="F11" s="9">
        <f t="shared" si="1"/>
        <v>-29.15241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1.0918099999999999</v>
      </c>
      <c r="E12" s="5">
        <f t="shared" si="0"/>
        <v>10.918100000000001</v>
      </c>
      <c r="F12" s="5">
        <f t="shared" si="1"/>
        <v>-8.9081899999999994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1.0918099999999999</v>
      </c>
      <c r="E13" s="9">
        <f t="shared" si="0"/>
        <v>10.918100000000001</v>
      </c>
      <c r="F13" s="9">
        <f t="shared" si="1"/>
        <v>-8.9081899999999994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585</v>
      </c>
      <c r="D14" s="5">
        <f>D15+D16</f>
        <v>525.45863999999995</v>
      </c>
      <c r="E14" s="5">
        <f t="shared" si="0"/>
        <v>89.821989743589739</v>
      </c>
      <c r="F14" s="5">
        <f t="shared" si="1"/>
        <v>-59.541360000000054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201.58349999999999</v>
      </c>
      <c r="E15" s="9">
        <f t="shared" si="0"/>
        <v>74.3850553505535</v>
      </c>
      <c r="F15" s="9">
        <f>SUM(D15-C15)</f>
        <v>-69.416500000000013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323.87513999999999</v>
      </c>
      <c r="E16" s="9">
        <f t="shared" si="0"/>
        <v>103.14494904458597</v>
      </c>
      <c r="F16" s="9">
        <f t="shared" si="1"/>
        <v>9.8751399999999876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5.5</v>
      </c>
      <c r="E17" s="5">
        <f t="shared" si="0"/>
        <v>110.00000000000001</v>
      </c>
      <c r="F17" s="5">
        <f t="shared" si="1"/>
        <v>0.5</v>
      </c>
    </row>
    <row r="18" spans="1:6" ht="18" customHeight="1">
      <c r="A18" s="7">
        <v>1080400001</v>
      </c>
      <c r="B18" s="8" t="s">
        <v>219</v>
      </c>
      <c r="C18" s="9">
        <v>5</v>
      </c>
      <c r="D18" s="10">
        <v>5.5</v>
      </c>
      <c r="E18" s="9">
        <f t="shared" si="0"/>
        <v>110.00000000000001</v>
      </c>
      <c r="F18" s="9">
        <f t="shared" si="1"/>
        <v>0.5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119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C24+C27+C29+C33</f>
        <v>795.99516000000006</v>
      </c>
      <c r="D23" s="5">
        <f>D25+D27+D33+D32</f>
        <v>1090.69667</v>
      </c>
      <c r="E23" s="5">
        <f t="shared" si="0"/>
        <v>137.02302787871224</v>
      </c>
      <c r="F23" s="5">
        <f t="shared" si="1"/>
        <v>294.70150999999998</v>
      </c>
    </row>
    <row r="24" spans="1:6" s="6" customFormat="1" ht="30" customHeight="1">
      <c r="A24" s="68">
        <v>1110000000</v>
      </c>
      <c r="B24" s="69" t="s">
        <v>122</v>
      </c>
      <c r="C24" s="5">
        <f>C25+C26</f>
        <v>30</v>
      </c>
      <c r="D24" s="5">
        <f>D25</f>
        <v>23.953299999999999</v>
      </c>
      <c r="E24" s="5">
        <f t="shared" si="0"/>
        <v>79.844333333333324</v>
      </c>
      <c r="F24" s="5">
        <f t="shared" si="1"/>
        <v>-6.0467000000000013</v>
      </c>
    </row>
    <row r="25" spans="1:6" ht="17.25" customHeight="1">
      <c r="A25" s="16">
        <v>1110502510</v>
      </c>
      <c r="B25" s="17" t="s">
        <v>217</v>
      </c>
      <c r="C25" s="12">
        <v>30</v>
      </c>
      <c r="D25" s="10">
        <v>23.953299999999999</v>
      </c>
      <c r="E25" s="9">
        <f t="shared" si="0"/>
        <v>79.844333333333324</v>
      </c>
      <c r="F25" s="9">
        <f t="shared" si="1"/>
        <v>-6.0467000000000013</v>
      </c>
    </row>
    <row r="26" spans="1:6" ht="0.75" hidden="1" customHeight="1">
      <c r="A26" s="7">
        <v>1110503505</v>
      </c>
      <c r="B26" s="11" t="s">
        <v>216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19.5" customHeight="1">
      <c r="A27" s="68">
        <v>1130000000</v>
      </c>
      <c r="B27" s="69" t="s">
        <v>124</v>
      </c>
      <c r="C27" s="5">
        <f>C28</f>
        <v>0</v>
      </c>
      <c r="D27" s="5">
        <f>D28</f>
        <v>8.3529999999999993E-2</v>
      </c>
      <c r="E27" s="5" t="e">
        <f t="shared" si="0"/>
        <v>#DIV/0!</v>
      </c>
      <c r="F27" s="5">
        <f t="shared" si="1"/>
        <v>8.3529999999999993E-2</v>
      </c>
    </row>
    <row r="28" spans="1:6" ht="18" customHeight="1">
      <c r="A28" s="7">
        <v>113020000</v>
      </c>
      <c r="B28" s="8" t="s">
        <v>399</v>
      </c>
      <c r="C28" s="9">
        <v>0</v>
      </c>
      <c r="D28" s="10">
        <v>8.3529999999999993E-2</v>
      </c>
      <c r="E28" s="9" t="e">
        <f t="shared" si="0"/>
        <v>#DIV/0!</v>
      </c>
      <c r="F28" s="9">
        <f t="shared" si="1"/>
        <v>8.3529999999999993E-2</v>
      </c>
    </row>
    <row r="29" spans="1:6" ht="15.75" customHeight="1">
      <c r="A29" s="70">
        <v>1140000000</v>
      </c>
      <c r="B29" s="71" t="s">
        <v>125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4.25" customHeight="1">
      <c r="A30" s="16">
        <v>1140200000</v>
      </c>
      <c r="B30" s="18" t="s">
        <v>126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5.75" customHeight="1">
      <c r="A31" s="7">
        <v>1140600000</v>
      </c>
      <c r="B31" s="8" t="s">
        <v>214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408">
        <v>1160000000</v>
      </c>
      <c r="B32" s="409" t="s">
        <v>236</v>
      </c>
      <c r="C32" s="5">
        <v>0</v>
      </c>
      <c r="D32" s="14">
        <v>0.86636000000000002</v>
      </c>
      <c r="E32" s="9"/>
      <c r="F32" s="9"/>
    </row>
    <row r="33" spans="1:8" ht="18" customHeight="1">
      <c r="A33" s="3">
        <v>1170000000</v>
      </c>
      <c r="B33" s="13" t="s">
        <v>128</v>
      </c>
      <c r="C33" s="5">
        <f>C34+C35</f>
        <v>765.99516000000006</v>
      </c>
      <c r="D33" s="5">
        <f>D34+D35</f>
        <v>1065.79348</v>
      </c>
      <c r="E33" s="5">
        <f t="shared" si="0"/>
        <v>139.1384091774157</v>
      </c>
      <c r="F33" s="5">
        <f t="shared" si="1"/>
        <v>299.79831999999999</v>
      </c>
    </row>
    <row r="34" spans="1:8" ht="19.5" customHeight="1">
      <c r="A34" s="7">
        <v>1170105005</v>
      </c>
      <c r="B34" s="8" t="s">
        <v>15</v>
      </c>
      <c r="C34" s="9">
        <v>0</v>
      </c>
      <c r="D34" s="9">
        <v>0</v>
      </c>
      <c r="E34" s="9" t="e">
        <f t="shared" si="0"/>
        <v>#DIV/0!</v>
      </c>
      <c r="F34" s="9">
        <f t="shared" si="1"/>
        <v>0</v>
      </c>
    </row>
    <row r="35" spans="1:8" ht="19.5" customHeight="1">
      <c r="A35" s="7">
        <v>1171503010</v>
      </c>
      <c r="B35" s="11" t="s">
        <v>406</v>
      </c>
      <c r="C35" s="9">
        <v>765.99516000000006</v>
      </c>
      <c r="D35" s="10">
        <v>1065.79348</v>
      </c>
      <c r="E35" s="9">
        <f t="shared" si="0"/>
        <v>139.1384091774157</v>
      </c>
      <c r="F35" s="9">
        <f t="shared" si="1"/>
        <v>299.79831999999999</v>
      </c>
    </row>
    <row r="36" spans="1:8" s="6" customFormat="1" ht="18.75" customHeight="1">
      <c r="A36" s="3">
        <v>1000000000</v>
      </c>
      <c r="B36" s="4" t="s">
        <v>16</v>
      </c>
      <c r="C36" s="125">
        <f>SUM(C4,C23)</f>
        <v>1935.72516</v>
      </c>
      <c r="D36" s="125">
        <f>D4+D23</f>
        <v>2216.0760300000002</v>
      </c>
      <c r="E36" s="5">
        <f t="shared" si="0"/>
        <v>114.48298941364176</v>
      </c>
      <c r="F36" s="5">
        <f t="shared" si="1"/>
        <v>280.35087000000021</v>
      </c>
    </row>
    <row r="37" spans="1:8" s="6" customFormat="1">
      <c r="A37" s="3">
        <v>2000000000</v>
      </c>
      <c r="B37" s="4" t="s">
        <v>17</v>
      </c>
      <c r="C37" s="224">
        <f>C38+C40+C41+C42+C43+C44</f>
        <v>10649.0036</v>
      </c>
      <c r="D37" s="224">
        <f>D38+D40+D41+D42+D44+D43</f>
        <v>10649.0036</v>
      </c>
      <c r="E37" s="5">
        <f t="shared" si="0"/>
        <v>100</v>
      </c>
      <c r="F37" s="5">
        <f t="shared" si="1"/>
        <v>0</v>
      </c>
      <c r="G37" s="19"/>
    </row>
    <row r="38" spans="1:8" ht="14.25" customHeight="1">
      <c r="A38" s="16">
        <v>2021000000</v>
      </c>
      <c r="B38" s="17" t="s">
        <v>18</v>
      </c>
      <c r="C38" s="98">
        <v>2095.3000000000002</v>
      </c>
      <c r="D38" s="98">
        <v>2095.3000000000002</v>
      </c>
      <c r="E38" s="9">
        <f t="shared" si="0"/>
        <v>100</v>
      </c>
      <c r="F38" s="9">
        <f t="shared" si="1"/>
        <v>0</v>
      </c>
    </row>
    <row r="39" spans="1:8" ht="15.75" hidden="1" customHeight="1">
      <c r="A39" s="16">
        <v>2020100310</v>
      </c>
      <c r="B39" s="17" t="s">
        <v>223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 ht="15.75" customHeight="1">
      <c r="A40" s="16">
        <v>2021500200</v>
      </c>
      <c r="B40" s="17" t="s">
        <v>223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98">
        <v>5392.4916499999999</v>
      </c>
      <c r="D41" s="10">
        <v>5392.4916499999999</v>
      </c>
      <c r="E41" s="9">
        <f t="shared" si="0"/>
        <v>100</v>
      </c>
      <c r="F41" s="9">
        <f t="shared" si="1"/>
        <v>0</v>
      </c>
    </row>
    <row r="42" spans="1:8" ht="17.25" customHeight="1">
      <c r="A42" s="16">
        <v>2023000000</v>
      </c>
      <c r="B42" s="17" t="s">
        <v>20</v>
      </c>
      <c r="C42" s="12">
        <v>96.750470000000007</v>
      </c>
      <c r="D42" s="180">
        <v>96.750470000000007</v>
      </c>
      <c r="E42" s="9">
        <f t="shared" si="0"/>
        <v>100</v>
      </c>
      <c r="F42" s="9">
        <f t="shared" si="1"/>
        <v>0</v>
      </c>
    </row>
    <row r="43" spans="1:8" ht="13.5" customHeight="1">
      <c r="A43" s="16">
        <v>2024000000</v>
      </c>
      <c r="B43" s="17" t="s">
        <v>21</v>
      </c>
      <c r="C43" s="12">
        <v>3064.4614799999999</v>
      </c>
      <c r="D43" s="181">
        <v>3064.4614799999999</v>
      </c>
      <c r="E43" s="9">
        <f t="shared" si="0"/>
        <v>100</v>
      </c>
      <c r="F43" s="9">
        <f t="shared" si="1"/>
        <v>0</v>
      </c>
    </row>
    <row r="44" spans="1:8" ht="14.25" customHeight="1">
      <c r="A44" s="16">
        <v>2070500010</v>
      </c>
      <c r="B44" s="8" t="s">
        <v>325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8" ht="14.25" hidden="1" customHeight="1">
      <c r="A45" s="7">
        <v>2190500005</v>
      </c>
      <c r="B45" s="11" t="s">
        <v>23</v>
      </c>
      <c r="C45" s="14"/>
      <c r="D45" s="14"/>
      <c r="E45" s="5"/>
      <c r="F45" s="5">
        <f>SUM(D45-C45)</f>
        <v>0</v>
      </c>
    </row>
    <row r="46" spans="1:8" s="6" customFormat="1" ht="16.5" hidden="1" customHeight="1">
      <c r="A46" s="3">
        <v>3000000000</v>
      </c>
      <c r="B46" s="13" t="s">
        <v>24</v>
      </c>
      <c r="C46" s="184">
        <v>0</v>
      </c>
      <c r="D46" s="14">
        <v>0</v>
      </c>
      <c r="E46" s="5" t="e">
        <f t="shared" si="0"/>
        <v>#DIV/0!</v>
      </c>
      <c r="F46" s="5">
        <f t="shared" si="1"/>
        <v>0</v>
      </c>
    </row>
    <row r="47" spans="1:8" s="6" customFormat="1" ht="21" hidden="1" customHeight="1">
      <c r="A47" s="3">
        <v>2190500010</v>
      </c>
      <c r="B47" s="13" t="s">
        <v>303</v>
      </c>
      <c r="C47" s="184">
        <v>0</v>
      </c>
      <c r="D47" s="14">
        <v>0</v>
      </c>
      <c r="E47" s="5"/>
      <c r="F47" s="5"/>
    </row>
    <row r="48" spans="1:8" s="6" customFormat="1" ht="16.5" customHeight="1">
      <c r="A48" s="3"/>
      <c r="B48" s="4" t="s">
        <v>25</v>
      </c>
      <c r="C48" s="244">
        <f>C36+C37</f>
        <v>12584.72876</v>
      </c>
      <c r="D48" s="244">
        <f>D36+D37</f>
        <v>12865.07963</v>
      </c>
      <c r="E48" s="5">
        <f t="shared" si="0"/>
        <v>102.2277068925878</v>
      </c>
      <c r="F48" s="5">
        <f t="shared" si="1"/>
        <v>280.35087000000021</v>
      </c>
      <c r="G48" s="193"/>
      <c r="H48" s="239"/>
    </row>
    <row r="49" spans="1:6" s="6" customFormat="1" ht="15.75" customHeight="1">
      <c r="A49" s="3"/>
      <c r="B49" s="21" t="s">
        <v>299</v>
      </c>
      <c r="C49" s="187">
        <f>C48-C95</f>
        <v>-62.656279999999242</v>
      </c>
      <c r="D49" s="187">
        <f>D48-D95</f>
        <v>251.71334000000024</v>
      </c>
      <c r="E49" s="22"/>
      <c r="F49" s="22"/>
    </row>
    <row r="50" spans="1:6">
      <c r="A50" s="23"/>
      <c r="B50" s="24"/>
      <c r="C50" s="113"/>
      <c r="D50" s="25"/>
      <c r="E50" s="26"/>
      <c r="F50" s="27"/>
    </row>
    <row r="51" spans="1:6" ht="32.25" customHeight="1">
      <c r="A51" s="28" t="s">
        <v>0</v>
      </c>
      <c r="B51" s="28" t="s">
        <v>26</v>
      </c>
      <c r="C51" s="72" t="s">
        <v>394</v>
      </c>
      <c r="D51" s="399" t="s">
        <v>409</v>
      </c>
      <c r="E51" s="72" t="s">
        <v>2</v>
      </c>
      <c r="F51" s="73" t="s">
        <v>3</v>
      </c>
    </row>
    <row r="52" spans="1:6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 ht="16.5" customHeight="1">
      <c r="A53" s="30" t="s">
        <v>27</v>
      </c>
      <c r="B53" s="31" t="s">
        <v>28</v>
      </c>
      <c r="C53" s="32">
        <f>C54+C55+C56+C57+C58+C60+C59</f>
        <v>1527.2872</v>
      </c>
      <c r="D53" s="33">
        <f>D55+D60</f>
        <v>1505.95272</v>
      </c>
      <c r="E53" s="34">
        <f>SUM(D53/C53*100)</f>
        <v>98.603112760979073</v>
      </c>
      <c r="F53" s="34">
        <f>SUM(D53-C53)</f>
        <v>-21.334479999999985</v>
      </c>
    </row>
    <row r="54" spans="1:6" s="6" customFormat="1" ht="17.25" hidden="1" customHeight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1523.1351999999999</v>
      </c>
      <c r="D55" s="37">
        <v>1502.80072</v>
      </c>
      <c r="E55" s="38">
        <f>SUM(D55/C55*100)</f>
        <v>98.664958960964199</v>
      </c>
      <c r="F55" s="38">
        <f t="shared" ref="F55:F95" si="3">SUM(D55-C55)</f>
        <v>-20.334479999999985</v>
      </c>
    </row>
    <row r="56" spans="1:6" ht="0.7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3"/>
        <v>0</v>
      </c>
    </row>
    <row r="57" spans="1:6" ht="17.25" hidden="1" customHeight="1">
      <c r="A57" s="35" t="s">
        <v>35</v>
      </c>
      <c r="B57" s="39" t="s">
        <v>36</v>
      </c>
      <c r="C57" s="37"/>
      <c r="D57" s="37"/>
      <c r="E57" s="38" t="e">
        <f t="shared" ref="E57:E95" si="4">SUM(D57/C57*100)</f>
        <v>#DIV/0!</v>
      </c>
      <c r="F57" s="38">
        <f t="shared" si="3"/>
        <v>0</v>
      </c>
    </row>
    <row r="58" spans="1:6" ht="17.25" customHeight="1">
      <c r="A58" s="35" t="s">
        <v>37</v>
      </c>
      <c r="B58" s="39" t="s">
        <v>38</v>
      </c>
      <c r="C58" s="37"/>
      <c r="D58" s="37">
        <v>0</v>
      </c>
      <c r="E58" s="38" t="e">
        <f t="shared" si="4"/>
        <v>#DIV/0!</v>
      </c>
      <c r="F58" s="38">
        <f t="shared" si="3"/>
        <v>0</v>
      </c>
    </row>
    <row r="59" spans="1:6" ht="15.75" customHeight="1">
      <c r="A59" s="35" t="s">
        <v>39</v>
      </c>
      <c r="B59" s="39" t="s">
        <v>40</v>
      </c>
      <c r="C59" s="40">
        <v>1</v>
      </c>
      <c r="D59" s="40">
        <v>0</v>
      </c>
      <c r="E59" s="38">
        <f t="shared" si="4"/>
        <v>0</v>
      </c>
      <c r="F59" s="38">
        <f t="shared" si="3"/>
        <v>-1</v>
      </c>
    </row>
    <row r="60" spans="1:6" ht="17.25" customHeight="1">
      <c r="A60" s="35" t="s">
        <v>41</v>
      </c>
      <c r="B60" s="39" t="s">
        <v>42</v>
      </c>
      <c r="C60" s="37">
        <v>3.1520000000000001</v>
      </c>
      <c r="D60" s="37">
        <v>3.1520000000000001</v>
      </c>
      <c r="E60" s="38">
        <f t="shared" si="4"/>
        <v>100</v>
      </c>
      <c r="F60" s="38">
        <f t="shared" si="3"/>
        <v>0</v>
      </c>
    </row>
    <row r="61" spans="1:6" s="6" customFormat="1" ht="17.850000000000001" customHeight="1">
      <c r="A61" s="41" t="s">
        <v>43</v>
      </c>
      <c r="B61" s="42" t="s">
        <v>44</v>
      </c>
      <c r="C61" s="32">
        <f>C62</f>
        <v>96.750470000000007</v>
      </c>
      <c r="D61" s="32">
        <f>D62</f>
        <v>96.750470000000007</v>
      </c>
      <c r="E61" s="34">
        <f t="shared" si="4"/>
        <v>100</v>
      </c>
      <c r="F61" s="34">
        <f t="shared" si="3"/>
        <v>0</v>
      </c>
    </row>
    <row r="62" spans="1:6" ht="17.850000000000001" customHeight="1">
      <c r="A62" s="43" t="s">
        <v>45</v>
      </c>
      <c r="B62" s="44" t="s">
        <v>46</v>
      </c>
      <c r="C62" s="37">
        <v>96.750470000000007</v>
      </c>
      <c r="D62" s="37">
        <v>96.750470000000007</v>
      </c>
      <c r="E62" s="38">
        <f t="shared" si="4"/>
        <v>100</v>
      </c>
      <c r="F62" s="38">
        <f t="shared" si="3"/>
        <v>0</v>
      </c>
    </row>
    <row r="63" spans="1:6" s="6" customFormat="1" ht="17.25" customHeight="1">
      <c r="A63" s="30" t="s">
        <v>47</v>
      </c>
      <c r="B63" s="31" t="s">
        <v>48</v>
      </c>
      <c r="C63" s="32">
        <f>C66+C67+C68</f>
        <v>7.6513399999999994</v>
      </c>
      <c r="D63" s="32">
        <f>SUM(D66+D67+D68)</f>
        <v>7.6513399999999994</v>
      </c>
      <c r="E63" s="34">
        <f t="shared" si="4"/>
        <v>100</v>
      </c>
      <c r="F63" s="34">
        <f t="shared" si="3"/>
        <v>0</v>
      </c>
    </row>
    <row r="64" spans="1:6" ht="17.25" hidden="1" customHeight="1">
      <c r="A64" s="35" t="s">
        <v>49</v>
      </c>
      <c r="B64" s="39" t="s">
        <v>50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7.25" hidden="1" customHeight="1">
      <c r="A65" s="4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8" customHeight="1">
      <c r="A66" s="46" t="s">
        <v>53</v>
      </c>
      <c r="B66" s="47" t="s">
        <v>54</v>
      </c>
      <c r="C66" s="37">
        <v>2.83134</v>
      </c>
      <c r="D66" s="37">
        <v>2.83134</v>
      </c>
      <c r="E66" s="34">
        <f t="shared" si="4"/>
        <v>100</v>
      </c>
      <c r="F66" s="34">
        <f t="shared" si="3"/>
        <v>0</v>
      </c>
    </row>
    <row r="67" spans="1:7" ht="18" customHeight="1">
      <c r="A67" s="46" t="s">
        <v>210</v>
      </c>
      <c r="B67" s="47" t="s">
        <v>211</v>
      </c>
      <c r="C67" s="37">
        <v>2.82</v>
      </c>
      <c r="D67" s="37">
        <v>2.82</v>
      </c>
      <c r="E67" s="38">
        <f t="shared" si="4"/>
        <v>100</v>
      </c>
      <c r="F67" s="38">
        <f t="shared" si="3"/>
        <v>0</v>
      </c>
    </row>
    <row r="68" spans="1:7" ht="18" customHeight="1">
      <c r="A68" s="46" t="s">
        <v>330</v>
      </c>
      <c r="B68" s="47" t="s">
        <v>333</v>
      </c>
      <c r="C68" s="37">
        <v>2</v>
      </c>
      <c r="D68" s="37">
        <v>2</v>
      </c>
      <c r="E68" s="38"/>
      <c r="F68" s="38"/>
    </row>
    <row r="69" spans="1:7" s="6" customFormat="1" ht="17.25" customHeight="1">
      <c r="A69" s="30" t="s">
        <v>55</v>
      </c>
      <c r="B69" s="31" t="s">
        <v>56</v>
      </c>
      <c r="C69" s="48">
        <f>SUM(C70:C73)</f>
        <v>1284.1928499999999</v>
      </c>
      <c r="D69" s="48">
        <f>D70+D71+D72+D73</f>
        <v>1271.5085799999999</v>
      </c>
      <c r="E69" s="34">
        <f t="shared" si="4"/>
        <v>99.012276855458282</v>
      </c>
      <c r="F69" s="34">
        <f t="shared" si="3"/>
        <v>-12.68426999999997</v>
      </c>
    </row>
    <row r="70" spans="1:7" ht="16.5" hidden="1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</row>
    <row r="71" spans="1:7" s="6" customFormat="1" ht="19.5" hidden="1" customHeight="1">
      <c r="A71" s="35" t="s">
        <v>59</v>
      </c>
      <c r="B71" s="39" t="s">
        <v>60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61</v>
      </c>
      <c r="B72" s="39" t="s">
        <v>62</v>
      </c>
      <c r="C72" s="49">
        <v>1256.6928499999999</v>
      </c>
      <c r="D72" s="37">
        <v>1244.0085799999999</v>
      </c>
      <c r="E72" s="38">
        <f t="shared" si="4"/>
        <v>98.990662674654345</v>
      </c>
      <c r="F72" s="38">
        <f t="shared" si="3"/>
        <v>-12.68426999999997</v>
      </c>
    </row>
    <row r="73" spans="1:7" ht="15.75" customHeight="1">
      <c r="A73" s="35" t="s">
        <v>63</v>
      </c>
      <c r="B73" s="39" t="s">
        <v>64</v>
      </c>
      <c r="C73" s="49">
        <v>27.5</v>
      </c>
      <c r="D73" s="37">
        <v>27.5</v>
      </c>
      <c r="E73" s="38">
        <f t="shared" si="4"/>
        <v>100</v>
      </c>
      <c r="F73" s="38">
        <f t="shared" si="3"/>
        <v>0</v>
      </c>
    </row>
    <row r="74" spans="1:7" s="6" customFormat="1" ht="18" customHeight="1">
      <c r="A74" s="30" t="s">
        <v>65</v>
      </c>
      <c r="B74" s="31" t="s">
        <v>66</v>
      </c>
      <c r="C74" s="32">
        <f>SUM(C75:C77)</f>
        <v>8968.17029</v>
      </c>
      <c r="D74" s="32">
        <f>D77+D76</f>
        <v>8968.17029</v>
      </c>
      <c r="E74" s="34">
        <f t="shared" si="4"/>
        <v>100</v>
      </c>
      <c r="F74" s="34">
        <f t="shared" si="3"/>
        <v>0</v>
      </c>
    </row>
    <row r="75" spans="1:7" ht="15.75" hidden="1" customHeight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20.25" customHeight="1">
      <c r="A76" s="35" t="s">
        <v>69</v>
      </c>
      <c r="B76" s="51" t="s">
        <v>70</v>
      </c>
      <c r="C76" s="37">
        <v>8022.3667100000002</v>
      </c>
      <c r="D76" s="37">
        <v>8022.3667100000002</v>
      </c>
      <c r="E76" s="38">
        <f t="shared" si="4"/>
        <v>100</v>
      </c>
      <c r="F76" s="38">
        <f t="shared" si="3"/>
        <v>0</v>
      </c>
    </row>
    <row r="77" spans="1:7" ht="17.850000000000001" customHeight="1">
      <c r="A77" s="35" t="s">
        <v>71</v>
      </c>
      <c r="B77" s="39" t="s">
        <v>72</v>
      </c>
      <c r="C77" s="37">
        <v>945.80358000000001</v>
      </c>
      <c r="D77" s="37">
        <v>945.80358000000001</v>
      </c>
      <c r="E77" s="38">
        <f t="shared" si="4"/>
        <v>100</v>
      </c>
      <c r="F77" s="38">
        <f t="shared" si="3"/>
        <v>0</v>
      </c>
    </row>
    <row r="78" spans="1:7" s="6" customFormat="1" ht="17.850000000000001" customHeight="1">
      <c r="A78" s="30" t="s">
        <v>81</v>
      </c>
      <c r="B78" s="31" t="s">
        <v>82</v>
      </c>
      <c r="C78" s="32">
        <f>C79</f>
        <v>758.33289000000002</v>
      </c>
      <c r="D78" s="32">
        <f>D79</f>
        <v>758.33289000000002</v>
      </c>
      <c r="E78" s="34">
        <f t="shared" si="4"/>
        <v>100</v>
      </c>
      <c r="F78" s="34">
        <f t="shared" si="3"/>
        <v>0</v>
      </c>
    </row>
    <row r="79" spans="1:7" ht="15" customHeight="1">
      <c r="A79" s="35" t="s">
        <v>83</v>
      </c>
      <c r="B79" s="39" t="s">
        <v>225</v>
      </c>
      <c r="C79" s="37">
        <v>758.33289000000002</v>
      </c>
      <c r="D79" s="37">
        <v>758.33289000000002</v>
      </c>
      <c r="E79" s="38">
        <f t="shared" si="4"/>
        <v>100</v>
      </c>
      <c r="F79" s="38">
        <f t="shared" si="3"/>
        <v>0</v>
      </c>
    </row>
    <row r="80" spans="1:7" s="6" customFormat="1" ht="0.75" hidden="1" customHeight="1">
      <c r="A80" s="52">
        <v>1000</v>
      </c>
      <c r="B80" s="31" t="s">
        <v>84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8" ht="0.75" hidden="1" customHeight="1">
      <c r="A81" s="53">
        <v>1001</v>
      </c>
      <c r="B81" s="54" t="s">
        <v>85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1003</v>
      </c>
      <c r="B82" s="54" t="s">
        <v>86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1004</v>
      </c>
      <c r="B83" s="54" t="s">
        <v>87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35" t="s">
        <v>88</v>
      </c>
      <c r="B84" s="39" t="s">
        <v>89</v>
      </c>
      <c r="C84" s="37">
        <v>0</v>
      </c>
      <c r="D84" s="37">
        <v>0</v>
      </c>
      <c r="E84" s="38"/>
      <c r="F84" s="38">
        <f t="shared" si="3"/>
        <v>0</v>
      </c>
    </row>
    <row r="85" spans="1:8" ht="17.850000000000001" customHeight="1">
      <c r="A85" s="30" t="s">
        <v>90</v>
      </c>
      <c r="B85" s="31" t="s">
        <v>91</v>
      </c>
      <c r="C85" s="32">
        <f>C86+C87+C88+C89+C90</f>
        <v>5</v>
      </c>
      <c r="D85" s="32">
        <f>D86+D87+D88+D89+D90</f>
        <v>5</v>
      </c>
      <c r="E85" s="38">
        <f t="shared" si="4"/>
        <v>100</v>
      </c>
      <c r="F85" s="22">
        <f>F86+F87+F88+F89+F90</f>
        <v>0</v>
      </c>
    </row>
    <row r="86" spans="1:8" ht="17.25" customHeight="1">
      <c r="A86" s="35" t="s">
        <v>92</v>
      </c>
      <c r="B86" s="39" t="s">
        <v>93</v>
      </c>
      <c r="C86" s="37">
        <v>5</v>
      </c>
      <c r="D86" s="37">
        <v>5</v>
      </c>
      <c r="E86" s="38">
        <f t="shared" si="4"/>
        <v>100</v>
      </c>
      <c r="F86" s="38">
        <f>SUM(D86-C86)</f>
        <v>0</v>
      </c>
    </row>
    <row r="87" spans="1:8" ht="15.75" hidden="1" customHeight="1">
      <c r="A87" s="35" t="s">
        <v>94</v>
      </c>
      <c r="B87" s="39" t="s">
        <v>95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s="6" customFormat="1" ht="15.75" hidden="1" customHeight="1">
      <c r="A91" s="52">
        <v>1400</v>
      </c>
      <c r="B91" s="56" t="s">
        <v>109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8" ht="15.75" hidden="1" customHeight="1">
      <c r="A92" s="53">
        <v>1401</v>
      </c>
      <c r="B92" s="54" t="s">
        <v>110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8" ht="18" hidden="1" customHeight="1">
      <c r="A93" s="53">
        <v>1402</v>
      </c>
      <c r="B93" s="54" t="s">
        <v>111</v>
      </c>
      <c r="C93" s="170"/>
      <c r="D93" s="171"/>
      <c r="E93" s="38" t="e">
        <f t="shared" si="4"/>
        <v>#DIV/0!</v>
      </c>
      <c r="F93" s="38">
        <f t="shared" si="3"/>
        <v>0</v>
      </c>
    </row>
    <row r="94" spans="1:8" ht="15.75" hidden="1" customHeight="1">
      <c r="A94" s="53">
        <v>1403</v>
      </c>
      <c r="B94" s="54" t="s">
        <v>112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8" s="6" customFormat="1" ht="16.5" customHeight="1">
      <c r="A95" s="52"/>
      <c r="B95" s="57" t="s">
        <v>113</v>
      </c>
      <c r="C95" s="266">
        <f>C53+C61+C63+C69+C74+C78+C80+C85+C91</f>
        <v>12647.385039999999</v>
      </c>
      <c r="D95" s="246">
        <f>D53+D61+D63+D69+D74+D78+D85</f>
        <v>12613.36629</v>
      </c>
      <c r="E95" s="34">
        <f t="shared" si="4"/>
        <v>99.731021472878325</v>
      </c>
      <c r="F95" s="34">
        <f t="shared" si="3"/>
        <v>-34.018749999999272</v>
      </c>
      <c r="G95" s="239"/>
      <c r="H95" s="239"/>
    </row>
    <row r="96" spans="1:8" ht="20.25" customHeight="1">
      <c r="C96" s="124"/>
      <c r="D96" s="100"/>
    </row>
    <row r="97" spans="1:4" s="65" customFormat="1" ht="13.5" customHeight="1">
      <c r="A97" s="63" t="s">
        <v>114</v>
      </c>
      <c r="B97" s="63"/>
      <c r="C97" s="114"/>
      <c r="D97" s="64"/>
    </row>
    <row r="98" spans="1:4" s="65" customFormat="1" ht="12.75">
      <c r="A98" s="66" t="s">
        <v>115</v>
      </c>
      <c r="B98" s="66"/>
      <c r="C98" s="132" t="s">
        <v>116</v>
      </c>
      <c r="D98" s="132"/>
    </row>
    <row r="99" spans="1:4" ht="5.25" customHeight="1">
      <c r="C99" s="118"/>
    </row>
    <row r="141" hidden="1"/>
  </sheetData>
  <customSheetViews>
    <customSheetView guid="{61528DAC-5C4C-48F4-ADE2-8A724B05A086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A486C6EE-08B2-475E-8DA1-C3C3163412A9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F1E84C44-1ACD-474A-BDE0-C7088DB6C590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F85EE840-0C31-454A-8951-832C2E9E0600}" scale="70" showPageBreaks="1" hiddenRows="1" state="hidden" view="pageBreakPreview" topLeftCell="A19">
      <selection activeCell="C69" sqref="C69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6"/>
    </customSheetView>
    <customSheetView guid="{B30CE22D-C12F-4E12-8BB9-3AAE0A6991CC}" scale="70" showPageBreaks="1" hiddenRows="1" view="pageBreakPreview" topLeftCell="A8">
      <selection activeCell="A32" sqref="A32:XFD32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8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9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10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12"/>
    </customSheetView>
    <customSheetView guid="{5C539BE6-C8E0-453F-AB5E-9E58094195EA}" scale="70" showPageBreaks="1" hiddenRows="1" view="pageBreakPreview" topLeftCell="A13">
      <selection activeCell="E35" sqref="E35"/>
      <pageMargins left="0.70866141732283472" right="0.70866141732283472" top="0.74803149606299213" bottom="0.74803149606299213" header="0.31496062992125984" footer="0.31496062992125984"/>
      <pageSetup paperSize="9" scale="60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4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38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627" t="s">
        <v>415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1122.556</v>
      </c>
      <c r="D4" s="5">
        <f>D5+D12+D14+D17+D20+D7</f>
        <v>1205.0803900000001</v>
      </c>
      <c r="E4" s="5">
        <f>SUM(D4/C4*100)</f>
        <v>107.35147199783353</v>
      </c>
      <c r="F4" s="5">
        <f>SUM(D4-C4)</f>
        <v>82.524390000000039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109.58056999999999</v>
      </c>
      <c r="E5" s="5">
        <f t="shared" ref="E5:E51" si="0">SUM(D5/C5*100)</f>
        <v>117.82856989247313</v>
      </c>
      <c r="F5" s="5">
        <f t="shared" ref="F5:F51" si="1">SUM(D5-C5)</f>
        <v>16.580569999999994</v>
      </c>
    </row>
    <row r="6" spans="1:6">
      <c r="A6" s="7">
        <v>1010200001</v>
      </c>
      <c r="B6" s="8" t="s">
        <v>220</v>
      </c>
      <c r="C6" s="9">
        <v>93</v>
      </c>
      <c r="D6" s="10">
        <v>109.58056999999999</v>
      </c>
      <c r="E6" s="9">
        <f t="shared" ref="E6:E11" si="2">SUM(D6/C6*100)</f>
        <v>117.82856989247313</v>
      </c>
      <c r="F6" s="9">
        <f t="shared" si="1"/>
        <v>16.580569999999994</v>
      </c>
    </row>
    <row r="7" spans="1:6" ht="31.5">
      <c r="A7" s="3">
        <v>1030000000</v>
      </c>
      <c r="B7" s="13" t="s">
        <v>259</v>
      </c>
      <c r="C7" s="5">
        <f>C8+C10+C9</f>
        <v>528.86</v>
      </c>
      <c r="D7" s="224">
        <f>D8+D10+D9+D11</f>
        <v>483.37358000000006</v>
      </c>
      <c r="E7" s="9">
        <f t="shared" si="2"/>
        <v>91.399156676625211</v>
      </c>
      <c r="F7" s="9">
        <f t="shared" si="1"/>
        <v>-45.486419999999953</v>
      </c>
    </row>
    <row r="8" spans="1:6">
      <c r="A8" s="7">
        <v>1030223001</v>
      </c>
      <c r="B8" s="8" t="s">
        <v>261</v>
      </c>
      <c r="C8" s="9">
        <v>272.505</v>
      </c>
      <c r="D8" s="10">
        <v>242.31856999999999</v>
      </c>
      <c r="E8" s="9">
        <f t="shared" si="2"/>
        <v>88.922614263958451</v>
      </c>
      <c r="F8" s="9">
        <f t="shared" si="1"/>
        <v>-30.186430000000001</v>
      </c>
    </row>
    <row r="9" spans="1:6">
      <c r="A9" s="7">
        <v>1030224001</v>
      </c>
      <c r="B9" s="8" t="s">
        <v>267</v>
      </c>
      <c r="C9" s="9">
        <v>1.635</v>
      </c>
      <c r="D9" s="10">
        <v>1.3088900000000001</v>
      </c>
      <c r="E9" s="9">
        <f t="shared" si="2"/>
        <v>80.05443425076453</v>
      </c>
      <c r="F9" s="9">
        <f t="shared" si="1"/>
        <v>-0.3261099999999999</v>
      </c>
    </row>
    <row r="10" spans="1:6">
      <c r="A10" s="7">
        <v>1030225001</v>
      </c>
      <c r="B10" s="8" t="s">
        <v>260</v>
      </c>
      <c r="C10" s="9">
        <v>254.72</v>
      </c>
      <c r="D10" s="10">
        <v>267.5471</v>
      </c>
      <c r="E10" s="9">
        <f t="shared" si="2"/>
        <v>105.03576476130654</v>
      </c>
      <c r="F10" s="9">
        <f t="shared" si="1"/>
        <v>12.827100000000002</v>
      </c>
    </row>
    <row r="11" spans="1:6">
      <c r="A11" s="7">
        <v>1030226001</v>
      </c>
      <c r="B11" s="8" t="s">
        <v>269</v>
      </c>
      <c r="C11" s="9">
        <v>0</v>
      </c>
      <c r="D11" s="10">
        <v>-27.800979999999999</v>
      </c>
      <c r="E11" s="9" t="e">
        <f t="shared" si="2"/>
        <v>#DIV/0!</v>
      </c>
      <c r="F11" s="9">
        <f t="shared" si="1"/>
        <v>-27.800979999999999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221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455.69600000000003</v>
      </c>
      <c r="D14" s="5">
        <f>D15+D16</f>
        <v>466.52960999999999</v>
      </c>
      <c r="E14" s="9">
        <f t="shared" si="0"/>
        <v>102.37737658438959</v>
      </c>
      <c r="F14" s="9">
        <f t="shared" si="1"/>
        <v>10.833609999999965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117.6803</v>
      </c>
      <c r="E15" s="9">
        <f>SUM(D15/C15*100)</f>
        <v>122.58364583333335</v>
      </c>
      <c r="F15" s="9">
        <f>SUM(D15-C14)</f>
        <v>-338.01570000000004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348.84931</v>
      </c>
      <c r="E16" s="9">
        <f t="shared" si="0"/>
        <v>96.984484119923479</v>
      </c>
      <c r="F16" s="9">
        <f t="shared" si="1"/>
        <v>-10.846690000000024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2.1</v>
      </c>
      <c r="E17" s="5">
        <f t="shared" si="0"/>
        <v>42.000000000000007</v>
      </c>
      <c r="F17" s="5">
        <f t="shared" si="1"/>
        <v>-2.9</v>
      </c>
    </row>
    <row r="18" spans="1:6" ht="18.75" customHeight="1">
      <c r="A18" s="7">
        <v>1080400001</v>
      </c>
      <c r="B18" s="8" t="s">
        <v>219</v>
      </c>
      <c r="C18" s="9">
        <v>5</v>
      </c>
      <c r="D18" s="10">
        <v>2.1</v>
      </c>
      <c r="E18" s="9">
        <f t="shared" si="0"/>
        <v>42.000000000000007</v>
      </c>
      <c r="F18" s="9">
        <f t="shared" si="1"/>
        <v>-2.9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222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224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258.38988000000001</v>
      </c>
      <c r="D25" s="5">
        <f>D26+D29+D31+D37-D34</f>
        <v>406.41803000000004</v>
      </c>
      <c r="E25" s="5">
        <f t="shared" si="0"/>
        <v>157.28867941732085</v>
      </c>
      <c r="F25" s="5">
        <f t="shared" si="1"/>
        <v>148.02815000000004</v>
      </c>
    </row>
    <row r="26" spans="1:6" s="6" customFormat="1" ht="15.75" customHeight="1">
      <c r="A26" s="68">
        <v>1110000000</v>
      </c>
      <c r="B26" s="69" t="s">
        <v>122</v>
      </c>
      <c r="C26" s="5">
        <f>C27+C28</f>
        <v>86.14</v>
      </c>
      <c r="D26" s="5">
        <f>D27+D28</f>
        <v>86.699160000000006</v>
      </c>
      <c r="E26" s="5">
        <f t="shared" si="0"/>
        <v>100.6491293243557</v>
      </c>
      <c r="F26" s="5">
        <f t="shared" si="1"/>
        <v>0.55916000000000565</v>
      </c>
    </row>
    <row r="27" spans="1:6" ht="15.75" customHeight="1">
      <c r="A27" s="16">
        <v>1110502510</v>
      </c>
      <c r="B27" s="17" t="s">
        <v>217</v>
      </c>
      <c r="C27" s="12">
        <v>86.14</v>
      </c>
      <c r="D27" s="10">
        <v>86.699160000000006</v>
      </c>
      <c r="E27" s="9">
        <f t="shared" si="0"/>
        <v>100.6491293243557</v>
      </c>
      <c r="F27" s="9">
        <f t="shared" si="1"/>
        <v>0.55916000000000565</v>
      </c>
    </row>
    <row r="28" spans="1:6" ht="17.25" customHeight="1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124</v>
      </c>
      <c r="C29" s="5">
        <f>C30</f>
        <v>50</v>
      </c>
      <c r="D29" s="5">
        <f>D30</f>
        <v>58.907350000000001</v>
      </c>
      <c r="E29" s="5">
        <f t="shared" si="0"/>
        <v>117.8147</v>
      </c>
      <c r="F29" s="5">
        <f t="shared" si="1"/>
        <v>8.907350000000001</v>
      </c>
    </row>
    <row r="30" spans="1:6" ht="17.25" customHeight="1">
      <c r="A30" s="7">
        <v>1130206005</v>
      </c>
      <c r="B30" s="8" t="s">
        <v>215</v>
      </c>
      <c r="C30" s="9">
        <v>50</v>
      </c>
      <c r="D30" s="10">
        <v>58.907350000000001</v>
      </c>
      <c r="E30" s="9">
        <f t="shared" si="0"/>
        <v>117.8147</v>
      </c>
      <c r="F30" s="9">
        <f t="shared" si="1"/>
        <v>8.907350000000001</v>
      </c>
    </row>
    <row r="31" spans="1:6" ht="32.25" customHeight="1">
      <c r="A31" s="70">
        <v>1140000000</v>
      </c>
      <c r="B31" s="71" t="s">
        <v>125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5.5" customHeight="1">
      <c r="A32" s="16">
        <v>1140200000</v>
      </c>
      <c r="B32" s="18" t="s">
        <v>213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30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3">
        <v>1160000000</v>
      </c>
      <c r="B34" s="13" t="s">
        <v>236</v>
      </c>
      <c r="C34" s="14">
        <f>C35</f>
        <v>0</v>
      </c>
      <c r="D34" s="14">
        <f>D35+D36</f>
        <v>0</v>
      </c>
      <c r="E34" s="14">
        <f>E35</f>
        <v>149.14903801950561</v>
      </c>
      <c r="F34" s="14">
        <f>F35</f>
        <v>60.084639999999993</v>
      </c>
    </row>
    <row r="35" spans="1:7" ht="29.25" customHeight="1">
      <c r="A35" s="7">
        <v>1163305010</v>
      </c>
      <c r="B35" s="8" t="s">
        <v>251</v>
      </c>
      <c r="C35" s="9">
        <v>0</v>
      </c>
      <c r="D35" s="10">
        <v>0</v>
      </c>
      <c r="E35" s="10">
        <f>E37</f>
        <v>149.14903801950561</v>
      </c>
      <c r="F35" s="10">
        <f>F37</f>
        <v>60.084639999999993</v>
      </c>
    </row>
    <row r="36" spans="1:7" ht="33" customHeight="1">
      <c r="A36" s="7">
        <v>1169005010</v>
      </c>
      <c r="B36" s="8" t="s">
        <v>316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128</v>
      </c>
      <c r="C37" s="5">
        <f>C38+C39</f>
        <v>122.24988</v>
      </c>
      <c r="D37" s="5">
        <f>D38+D39</f>
        <v>182.33452</v>
      </c>
      <c r="E37" s="9">
        <f t="shared" si="0"/>
        <v>149.14903801950561</v>
      </c>
      <c r="F37" s="5">
        <f t="shared" si="1"/>
        <v>60.084639999999993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1171503010</v>
      </c>
      <c r="B39" s="11" t="s">
        <v>406</v>
      </c>
      <c r="C39" s="9">
        <v>122.24988</v>
      </c>
      <c r="D39" s="10">
        <v>182.33452</v>
      </c>
      <c r="E39" s="9">
        <f t="shared" si="0"/>
        <v>149.14903801950561</v>
      </c>
      <c r="F39" s="9">
        <f t="shared" si="1"/>
        <v>60.084639999999993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1380.94588</v>
      </c>
      <c r="D40" s="125">
        <f>D4+D25</f>
        <v>1611.4984200000001</v>
      </c>
      <c r="E40" s="5">
        <f t="shared" si="0"/>
        <v>116.69526252542208</v>
      </c>
      <c r="F40" s="5">
        <f t="shared" si="1"/>
        <v>230.55254000000014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6927.40247</v>
      </c>
      <c r="D41" s="247">
        <f>D42+D44+D45+D46+D47+D48+D43+D50</f>
        <v>6867.0774700000002</v>
      </c>
      <c r="E41" s="5">
        <f t="shared" si="0"/>
        <v>99.129182976429547</v>
      </c>
      <c r="F41" s="5">
        <f t="shared" si="1"/>
        <v>-60.324999999999818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3395.5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223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2915.1730699999998</v>
      </c>
      <c r="D44" s="10">
        <v>2915.1730699999998</v>
      </c>
      <c r="E44" s="9">
        <f>SUM(D44/C44*100)</f>
        <v>100</v>
      </c>
      <c r="F44" s="9">
        <f t="shared" si="1"/>
        <v>0</v>
      </c>
    </row>
    <row r="45" spans="1:7" ht="17.25" customHeight="1">
      <c r="A45" s="16">
        <v>2023000000</v>
      </c>
      <c r="B45" s="17" t="s">
        <v>20</v>
      </c>
      <c r="C45" s="12">
        <v>110.81102</v>
      </c>
      <c r="D45" s="180">
        <v>110.81102</v>
      </c>
      <c r="E45" s="9">
        <f t="shared" si="0"/>
        <v>100</v>
      </c>
      <c r="F45" s="9">
        <f t="shared" si="1"/>
        <v>0</v>
      </c>
    </row>
    <row r="46" spans="1:7" ht="21.75" customHeight="1">
      <c r="A46" s="16">
        <v>2024000000</v>
      </c>
      <c r="B46" s="17" t="s">
        <v>21</v>
      </c>
      <c r="C46" s="12">
        <v>505.91838000000001</v>
      </c>
      <c r="D46" s="181">
        <v>445.59338000000002</v>
      </c>
      <c r="E46" s="9">
        <f t="shared" si="0"/>
        <v>88.076139870624985</v>
      </c>
      <c r="F46" s="9">
        <f t="shared" si="1"/>
        <v>-60.324999999999989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8308.3483500000002</v>
      </c>
      <c r="D51" s="241">
        <f>D40+D41</f>
        <v>8478.5758900000001</v>
      </c>
      <c r="E51" s="92">
        <f t="shared" si="0"/>
        <v>102.04887340815458</v>
      </c>
      <c r="F51" s="92">
        <f t="shared" si="1"/>
        <v>170.22753999999986</v>
      </c>
      <c r="G51" s="193"/>
      <c r="H51" s="193"/>
    </row>
    <row r="52" spans="1:8" s="6" customFormat="1">
      <c r="A52" s="3"/>
      <c r="B52" s="21" t="s">
        <v>299</v>
      </c>
      <c r="C52" s="92">
        <f>C51-C98</f>
        <v>-328.18882000000121</v>
      </c>
      <c r="D52" s="92">
        <f>D51-D98</f>
        <v>134.52896999999939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1722.4080000000001</v>
      </c>
      <c r="D56" s="33">
        <f>D57+D58+D59+D60+D61+D63+D62</f>
        <v>1590.3137200000001</v>
      </c>
      <c r="E56" s="34">
        <f>SUM(D56/C56*100)</f>
        <v>92.330836828440184</v>
      </c>
      <c r="F56" s="34">
        <f>SUM(D56-C56)</f>
        <v>-132.09428000000003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1703.48</v>
      </c>
      <c r="D58" s="37">
        <v>1581.38572</v>
      </c>
      <c r="E58" s="38">
        <f t="shared" ref="E58:E98" si="3">SUM(D58/C58*100)</f>
        <v>92.832655505201117</v>
      </c>
      <c r="F58" s="38">
        <f t="shared" ref="F58:F98" si="4">SUM(D58-C58)</f>
        <v>-122.09428000000003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8.9280000000000008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110.81102</v>
      </c>
      <c r="D64" s="32">
        <f>D65</f>
        <v>110.81102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110.81102</v>
      </c>
      <c r="D65" s="37">
        <v>110.81102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10.832000000000001</v>
      </c>
      <c r="D66" s="32">
        <f>SUM(D69+D70+D71)</f>
        <v>10.431339999999999</v>
      </c>
      <c r="E66" s="34">
        <f t="shared" si="3"/>
        <v>96.301144756277679</v>
      </c>
      <c r="F66" s="34">
        <f t="shared" si="4"/>
        <v>-0.40066000000000201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2.8319999999999999</v>
      </c>
      <c r="D69" s="37">
        <v>2.83134</v>
      </c>
      <c r="E69" s="38">
        <f t="shared" si="3"/>
        <v>99.976694915254242</v>
      </c>
      <c r="F69" s="38">
        <f t="shared" si="4"/>
        <v>-6.599999999998829E-4</v>
      </c>
    </row>
    <row r="70" spans="1:7" ht="15.75" customHeight="1">
      <c r="A70" s="46" t="s">
        <v>210</v>
      </c>
      <c r="B70" s="47" t="s">
        <v>211</v>
      </c>
      <c r="C70" s="37">
        <v>6</v>
      </c>
      <c r="D70" s="37">
        <v>5.6</v>
      </c>
      <c r="E70" s="38">
        <f t="shared" si="3"/>
        <v>93.333333333333329</v>
      </c>
      <c r="F70" s="38">
        <f t="shared" si="4"/>
        <v>-0.40000000000000036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1530.38518</v>
      </c>
      <c r="D72" s="48">
        <f>SUM(D73:D76)</f>
        <v>1504.65516</v>
      </c>
      <c r="E72" s="34">
        <f t="shared" si="3"/>
        <v>98.318722610735165</v>
      </c>
      <c r="F72" s="34">
        <f t="shared" si="4"/>
        <v>-25.730019999999968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1457.1851799999999</v>
      </c>
      <c r="D75" s="37">
        <v>1441.0751600000001</v>
      </c>
      <c r="E75" s="38">
        <f t="shared" si="3"/>
        <v>98.894442503182759</v>
      </c>
      <c r="F75" s="38">
        <f t="shared" si="4"/>
        <v>-16.110019999999849</v>
      </c>
    </row>
    <row r="76" spans="1:7" ht="16.5" customHeight="1">
      <c r="A76" s="35" t="s">
        <v>63</v>
      </c>
      <c r="B76" s="39" t="s">
        <v>64</v>
      </c>
      <c r="C76" s="49">
        <v>73.2</v>
      </c>
      <c r="D76" s="37">
        <v>63.58</v>
      </c>
      <c r="E76" s="38">
        <f t="shared" si="3"/>
        <v>86.857923497267748</v>
      </c>
      <c r="F76" s="38">
        <f t="shared" si="4"/>
        <v>-9.6200000000000045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4218.2709700000005</v>
      </c>
      <c r="D77" s="32">
        <f>SUM(D78:D80)</f>
        <v>4084.0056800000002</v>
      </c>
      <c r="E77" s="34">
        <f t="shared" si="3"/>
        <v>96.817053931459498</v>
      </c>
      <c r="F77" s="34">
        <f t="shared" si="4"/>
        <v>-134.26529000000028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7.75" customHeight="1">
      <c r="A79" s="35" t="s">
        <v>69</v>
      </c>
      <c r="B79" s="51" t="s">
        <v>70</v>
      </c>
      <c r="C79" s="37">
        <v>2576.5994500000002</v>
      </c>
      <c r="D79" s="37">
        <v>2574.2638400000001</v>
      </c>
      <c r="E79" s="38">
        <f t="shared" si="3"/>
        <v>99.909353004014648</v>
      </c>
      <c r="F79" s="38">
        <f t="shared" si="4"/>
        <v>-2.3356100000000879</v>
      </c>
    </row>
    <row r="80" spans="1:7">
      <c r="A80" s="35" t="s">
        <v>71</v>
      </c>
      <c r="B80" s="39" t="s">
        <v>72</v>
      </c>
      <c r="C80" s="37">
        <v>1641.6715200000001</v>
      </c>
      <c r="D80" s="37">
        <v>1509.7418399999999</v>
      </c>
      <c r="E80" s="38">
        <f t="shared" si="3"/>
        <v>91.96369807280324</v>
      </c>
      <c r="F80" s="38">
        <f t="shared" si="4"/>
        <v>-131.92968000000019</v>
      </c>
    </row>
    <row r="81" spans="1:7" s="6" customFormat="1">
      <c r="A81" s="30" t="s">
        <v>81</v>
      </c>
      <c r="B81" s="31" t="s">
        <v>82</v>
      </c>
      <c r="C81" s="32">
        <f>C82</f>
        <v>1038.4000000000001</v>
      </c>
      <c r="D81" s="32">
        <f>SUM(D82)</f>
        <v>1038.4000000000001</v>
      </c>
      <c r="E81" s="34">
        <f t="shared" si="3"/>
        <v>100</v>
      </c>
      <c r="F81" s="34">
        <f t="shared" si="4"/>
        <v>0</v>
      </c>
    </row>
    <row r="82" spans="1:7" ht="17.25" customHeight="1">
      <c r="A82" s="35" t="s">
        <v>83</v>
      </c>
      <c r="B82" s="39" t="s">
        <v>225</v>
      </c>
      <c r="C82" s="37">
        <v>1038.4000000000001</v>
      </c>
      <c r="D82" s="37">
        <v>1038.4000000000001</v>
      </c>
      <c r="E82" s="38">
        <f t="shared" si="3"/>
        <v>100</v>
      </c>
      <c r="F82" s="38">
        <f t="shared" si="4"/>
        <v>0</v>
      </c>
    </row>
    <row r="83" spans="1:7" s="6" customFormat="1" ht="21.7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90</v>
      </c>
      <c r="B88" s="31" t="s">
        <v>91</v>
      </c>
      <c r="C88" s="32">
        <f>C89+C90+C91+C92+C93</f>
        <v>5.43</v>
      </c>
      <c r="D88" s="32">
        <f>D89</f>
        <v>5.43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92</v>
      </c>
      <c r="B89" s="39" t="s">
        <v>93</v>
      </c>
      <c r="C89" s="37">
        <v>5.43</v>
      </c>
      <c r="D89" s="37">
        <v>5.43</v>
      </c>
      <c r="E89" s="38">
        <f t="shared" si="3"/>
        <v>100</v>
      </c>
      <c r="F89" s="38">
        <f>SUM(D89-C89)</f>
        <v>0</v>
      </c>
      <c r="G89" s="237"/>
    </row>
    <row r="90" spans="1:7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96</v>
      </c>
      <c r="B91" s="39" t="s">
        <v>97</v>
      </c>
      <c r="C91" s="37"/>
      <c r="D91" s="37" t="s">
        <v>314</v>
      </c>
      <c r="E91" s="38" t="e">
        <f t="shared" si="3"/>
        <v>#VALUE!</v>
      </c>
      <c r="F91" s="38"/>
    </row>
    <row r="92" spans="1:7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112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113</v>
      </c>
      <c r="C98" s="266">
        <f>C56+C64+C66+C72+C77+C81+C83+C88+C94</f>
        <v>8636.5371700000014</v>
      </c>
      <c r="D98" s="243">
        <f>D56+D64+D66+D72+D77+D81+D83+D88+D94</f>
        <v>8344.0469200000007</v>
      </c>
      <c r="E98" s="34">
        <f t="shared" si="3"/>
        <v>96.613338838904099</v>
      </c>
      <c r="F98" s="34">
        <f t="shared" si="4"/>
        <v>-292.49025000000074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114</v>
      </c>
      <c r="B100" s="63"/>
      <c r="C100" s="178"/>
      <c r="D100" s="178"/>
      <c r="E100" s="238"/>
    </row>
    <row r="101" spans="1:8" s="65" customFormat="1" ht="20.25" customHeight="1">
      <c r="A101" s="66" t="s">
        <v>115</v>
      </c>
      <c r="B101" s="66"/>
      <c r="C101" s="65" t="s">
        <v>116</v>
      </c>
    </row>
    <row r="102" spans="1:8" ht="13.5" customHeight="1"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A486C6EE-08B2-475E-8DA1-C3C3163412A9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2"/>
    </customSheetView>
    <customSheetView guid="{F1E84C44-1ACD-474A-BDE0-C7088DB6C590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3"/>
    </customSheetView>
    <customSheetView guid="{F85EE840-0C31-454A-8951-832C2E9E0600}" scale="70" showPageBreaks="1" hiddenRows="1" state="hidden" view="pageBreakPreview">
      <selection activeCell="C69" sqref="C69"/>
      <pageMargins left="0.70866141732283472" right="0.70866141732283472" top="0.74803149606299213" bottom="0.74803149606299213" header="0.31496062992125984" footer="0.31496062992125984"/>
      <pageSetup paperSize="9" scale="52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6"/>
    </customSheetView>
    <customSheetView guid="{B30CE22D-C12F-4E12-8BB9-3AAE0A6991CC}" scale="70" showPageBreaks="1" printArea="1" hiddenRows="1" view="pageBreakPreview" topLeftCell="A7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8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9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10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12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4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5.140625" style="59" customWidth="1"/>
    <col min="3" max="3" width="17.2851562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628" t="s">
        <v>414</v>
      </c>
      <c r="B1" s="628"/>
      <c r="C1" s="628"/>
      <c r="D1" s="628"/>
      <c r="E1" s="628"/>
      <c r="F1" s="628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1003.48464</v>
      </c>
      <c r="E4" s="5">
        <f>SUM(D4/C4*100)</f>
        <v>112.72575151651314</v>
      </c>
      <c r="F4" s="5">
        <f>SUM(D4-C4)</f>
        <v>113.28463999999997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54.596049999999998</v>
      </c>
      <c r="E5" s="5">
        <f t="shared" ref="E5:E51" si="0">SUM(D5/C5*100)</f>
        <v>90.993416666666661</v>
      </c>
      <c r="F5" s="5">
        <f t="shared" ref="F5:F51" si="1">SUM(D5-C5)</f>
        <v>-5.4039500000000018</v>
      </c>
    </row>
    <row r="6" spans="1:6">
      <c r="A6" s="7">
        <v>1010200001</v>
      </c>
      <c r="B6" s="8" t="s">
        <v>220</v>
      </c>
      <c r="C6" s="9">
        <v>60</v>
      </c>
      <c r="D6" s="10">
        <v>54.596049999999998</v>
      </c>
      <c r="E6" s="9">
        <f t="shared" ref="E6:E11" si="2">SUM(D6/C6*100)</f>
        <v>90.993416666666661</v>
      </c>
      <c r="F6" s="9">
        <f t="shared" si="1"/>
        <v>-5.4039500000000018</v>
      </c>
    </row>
    <row r="7" spans="1:6" ht="31.5">
      <c r="A7" s="3">
        <v>1030000000</v>
      </c>
      <c r="B7" s="13" t="s">
        <v>259</v>
      </c>
      <c r="C7" s="5">
        <f>C8+C10+C9</f>
        <v>420.20000000000005</v>
      </c>
      <c r="D7" s="5">
        <f>D8+D10+D9+D11</f>
        <v>496.80062000000004</v>
      </c>
      <c r="E7" s="5">
        <f t="shared" si="2"/>
        <v>118.2295621132794</v>
      </c>
      <c r="F7" s="5">
        <f t="shared" si="1"/>
        <v>76.600619999999992</v>
      </c>
    </row>
    <row r="8" spans="1:6">
      <c r="A8" s="7">
        <v>1030223001</v>
      </c>
      <c r="B8" s="8" t="s">
        <v>261</v>
      </c>
      <c r="C8" s="9">
        <v>156.73500000000001</v>
      </c>
      <c r="D8" s="10">
        <v>249.04965000000001</v>
      </c>
      <c r="E8" s="9">
        <f t="shared" si="2"/>
        <v>158.89855488563498</v>
      </c>
      <c r="F8" s="9">
        <f t="shared" si="1"/>
        <v>92.31465</v>
      </c>
    </row>
    <row r="9" spans="1:6">
      <c r="A9" s="7">
        <v>1030224001</v>
      </c>
      <c r="B9" s="8" t="s">
        <v>267</v>
      </c>
      <c r="C9" s="9">
        <v>1.68</v>
      </c>
      <c r="D9" s="10">
        <v>1.3452599999999999</v>
      </c>
      <c r="E9" s="9">
        <f t="shared" si="2"/>
        <v>80.075000000000003</v>
      </c>
      <c r="F9" s="9">
        <f t="shared" si="1"/>
        <v>-0.33474000000000004</v>
      </c>
    </row>
    <row r="10" spans="1:6">
      <c r="A10" s="7">
        <v>1030225001</v>
      </c>
      <c r="B10" s="8" t="s">
        <v>260</v>
      </c>
      <c r="C10" s="9">
        <v>261.78500000000003</v>
      </c>
      <c r="D10" s="10">
        <v>274.97894000000002</v>
      </c>
      <c r="E10" s="9">
        <f t="shared" si="2"/>
        <v>105.03999083217144</v>
      </c>
      <c r="F10" s="9">
        <f t="shared" si="1"/>
        <v>13.193939999999998</v>
      </c>
    </row>
    <row r="11" spans="1:6">
      <c r="A11" s="7">
        <v>1030226001</v>
      </c>
      <c r="B11" s="8" t="s">
        <v>269</v>
      </c>
      <c r="C11" s="9">
        <v>0</v>
      </c>
      <c r="D11" s="10">
        <v>-28.573229999999999</v>
      </c>
      <c r="E11" s="9" t="e">
        <f t="shared" si="2"/>
        <v>#DIV/0!</v>
      </c>
      <c r="F11" s="9">
        <f t="shared" si="1"/>
        <v>-28.573229999999999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397</v>
      </c>
      <c r="D14" s="5">
        <f>D15+D16</f>
        <v>446.65517</v>
      </c>
      <c r="E14" s="5">
        <f t="shared" si="0"/>
        <v>112.50759949622167</v>
      </c>
      <c r="F14" s="5">
        <f t="shared" si="1"/>
        <v>49.655169999999998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127.09181</v>
      </c>
      <c r="E15" s="9">
        <f t="shared" si="0"/>
        <v>141.21312222222221</v>
      </c>
      <c r="F15" s="9">
        <f>SUM(D15-C15)</f>
        <v>37.091809999999995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319.56335999999999</v>
      </c>
      <c r="E16" s="9">
        <f t="shared" si="0"/>
        <v>104.0922996742671</v>
      </c>
      <c r="F16" s="9">
        <f t="shared" si="1"/>
        <v>12.563359999999989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2</v>
      </c>
      <c r="E17" s="5">
        <f t="shared" si="0"/>
        <v>66.666666666666657</v>
      </c>
      <c r="F17" s="5">
        <f t="shared" si="1"/>
        <v>-1</v>
      </c>
    </row>
    <row r="18" spans="1:6" ht="16.5" customHeight="1">
      <c r="A18" s="7">
        <v>1080400001</v>
      </c>
      <c r="B18" s="8" t="s">
        <v>219</v>
      </c>
      <c r="C18" s="9">
        <v>3</v>
      </c>
      <c r="D18" s="10">
        <v>2</v>
      </c>
      <c r="E18" s="9">
        <f t="shared" si="0"/>
        <v>66.666666666666657</v>
      </c>
      <c r="F18" s="9">
        <f t="shared" si="1"/>
        <v>-1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1861.0668999999998</v>
      </c>
      <c r="D25" s="5">
        <f>D26+D29+D31+D37+D34</f>
        <v>2107.9673899999998</v>
      </c>
      <c r="E25" s="5">
        <f t="shared" si="0"/>
        <v>113.26661013636856</v>
      </c>
      <c r="F25" s="5">
        <f t="shared" si="1"/>
        <v>246.90048999999999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200</v>
      </c>
      <c r="D26" s="5">
        <f>D27+D28</f>
        <v>266.81849999999997</v>
      </c>
      <c r="E26" s="5">
        <f t="shared" si="0"/>
        <v>133.40924999999999</v>
      </c>
      <c r="F26" s="5">
        <f t="shared" si="1"/>
        <v>66.818499999999972</v>
      </c>
    </row>
    <row r="27" spans="1:6">
      <c r="A27" s="16">
        <v>1110502510</v>
      </c>
      <c r="B27" s="17" t="s">
        <v>217</v>
      </c>
      <c r="C27" s="12">
        <v>180</v>
      </c>
      <c r="D27" s="10">
        <v>240.8073</v>
      </c>
      <c r="E27" s="9">
        <f t="shared" si="0"/>
        <v>133.78183333333334</v>
      </c>
      <c r="F27" s="9">
        <f t="shared" si="1"/>
        <v>60.807299999999998</v>
      </c>
    </row>
    <row r="28" spans="1:6" ht="18.75" customHeight="1">
      <c r="A28" s="7">
        <v>1110503505</v>
      </c>
      <c r="B28" s="11" t="s">
        <v>216</v>
      </c>
      <c r="C28" s="12">
        <v>20</v>
      </c>
      <c r="D28" s="10">
        <v>26.011199999999999</v>
      </c>
      <c r="E28" s="9">
        <f t="shared" si="0"/>
        <v>130.05599999999998</v>
      </c>
      <c r="F28" s="9">
        <f t="shared" si="1"/>
        <v>6.0111999999999988</v>
      </c>
    </row>
    <row r="29" spans="1:6" s="15" customFormat="1" ht="37.5" customHeight="1">
      <c r="A29" s="68">
        <v>1130000000</v>
      </c>
      <c r="B29" s="69" t="s">
        <v>124</v>
      </c>
      <c r="C29" s="5">
        <f>C30</f>
        <v>30</v>
      </c>
      <c r="D29" s="5">
        <f>D30</f>
        <v>32.162050000000001</v>
      </c>
      <c r="E29" s="5">
        <f t="shared" si="0"/>
        <v>107.20683333333334</v>
      </c>
      <c r="F29" s="5">
        <f t="shared" si="1"/>
        <v>2.1620500000000007</v>
      </c>
    </row>
    <row r="30" spans="1:6" ht="29.25" customHeight="1">
      <c r="A30" s="7">
        <v>1130206005</v>
      </c>
      <c r="B30" s="8" t="s">
        <v>397</v>
      </c>
      <c r="C30" s="9">
        <v>30</v>
      </c>
      <c r="D30" s="10">
        <v>32.162050000000001</v>
      </c>
      <c r="E30" s="9">
        <f t="shared" si="0"/>
        <v>107.20683333333334</v>
      </c>
      <c r="F30" s="9">
        <f t="shared" si="1"/>
        <v>2.1620500000000007</v>
      </c>
    </row>
    <row r="31" spans="1:6" ht="42" customHeight="1">
      <c r="A31" s="70">
        <v>1140000000</v>
      </c>
      <c r="B31" s="71" t="s">
        <v>125</v>
      </c>
      <c r="C31" s="5">
        <f>C32+C33</f>
        <v>1294.56</v>
      </c>
      <c r="D31" s="5">
        <f>D32+D33</f>
        <v>1320.396</v>
      </c>
      <c r="E31" s="5">
        <f t="shared" si="0"/>
        <v>101.99573600296625</v>
      </c>
      <c r="F31" s="5">
        <f t="shared" si="1"/>
        <v>25.836000000000013</v>
      </c>
    </row>
    <row r="32" spans="1:6" ht="40.5" customHeight="1">
      <c r="A32" s="16">
        <v>1140200000</v>
      </c>
      <c r="B32" s="18" t="s">
        <v>213</v>
      </c>
      <c r="C32" s="9">
        <v>944.6</v>
      </c>
      <c r="D32" s="10">
        <v>970.43600000000004</v>
      </c>
      <c r="E32" s="9">
        <f t="shared" si="0"/>
        <v>102.73512597925047</v>
      </c>
      <c r="F32" s="9">
        <f t="shared" si="1"/>
        <v>25.836000000000013</v>
      </c>
    </row>
    <row r="33" spans="1:7" ht="36.75" customHeight="1">
      <c r="A33" s="7">
        <v>1140600000</v>
      </c>
      <c r="B33" s="8" t="s">
        <v>214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236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63" hidden="1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317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128</v>
      </c>
      <c r="C37" s="5">
        <f>C38+C39</f>
        <v>336.50689999999997</v>
      </c>
      <c r="D37" s="5">
        <f>D38+D39</f>
        <v>488.59084000000001</v>
      </c>
      <c r="E37" s="5">
        <f t="shared" si="0"/>
        <v>145.19489496352082</v>
      </c>
      <c r="F37" s="5">
        <f t="shared" si="1"/>
        <v>152.08394000000004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1171503010</v>
      </c>
      <c r="B39" s="11" t="s">
        <v>406</v>
      </c>
      <c r="C39" s="9">
        <v>336.50689999999997</v>
      </c>
      <c r="D39" s="10">
        <v>488.59084000000001</v>
      </c>
      <c r="E39" s="9">
        <f t="shared" si="0"/>
        <v>145.19489496352082</v>
      </c>
      <c r="F39" s="9">
        <f t="shared" si="1"/>
        <v>152.08394000000004</v>
      </c>
    </row>
    <row r="40" spans="1:7" s="6" customFormat="1">
      <c r="A40" s="3">
        <v>1000000000</v>
      </c>
      <c r="B40" s="4" t="s">
        <v>16</v>
      </c>
      <c r="C40" s="125">
        <f>SUM(C4,C25)</f>
        <v>2751.2668999999996</v>
      </c>
      <c r="D40" s="125">
        <f>D4+D25</f>
        <v>3111.4520299999999</v>
      </c>
      <c r="E40" s="5">
        <f t="shared" si="0"/>
        <v>113.09160990524039</v>
      </c>
      <c r="F40" s="5">
        <f t="shared" si="1"/>
        <v>360.1851300000003</v>
      </c>
    </row>
    <row r="41" spans="1:7" s="6" customFormat="1">
      <c r="A41" s="3">
        <v>2000000000</v>
      </c>
      <c r="B41" s="4" t="s">
        <v>17</v>
      </c>
      <c r="C41" s="5">
        <f>C42+C43+C44+C45+C46+C47+C50</f>
        <v>7033.0034999999998</v>
      </c>
      <c r="D41" s="5">
        <f>D42+D43+D44+D45+D46+D47+D50</f>
        <v>6876.0804500000004</v>
      </c>
      <c r="E41" s="5">
        <f t="shared" si="0"/>
        <v>97.768761952130419</v>
      </c>
      <c r="F41" s="5">
        <f t="shared" si="1"/>
        <v>-156.92304999999942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1897.8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223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4067.5971199999999</v>
      </c>
      <c r="D44" s="10">
        <v>3921.6578399999999</v>
      </c>
      <c r="E44" s="9">
        <f t="shared" si="0"/>
        <v>96.412150080389466</v>
      </c>
      <c r="F44" s="9">
        <f t="shared" si="1"/>
        <v>-145.93928000000005</v>
      </c>
    </row>
    <row r="45" spans="1:7" ht="15.75" customHeight="1">
      <c r="A45" s="16">
        <v>2023000000</v>
      </c>
      <c r="B45" s="17" t="s">
        <v>20</v>
      </c>
      <c r="C45" s="12">
        <v>117.81358</v>
      </c>
      <c r="D45" s="180">
        <v>117.81358</v>
      </c>
      <c r="E45" s="9">
        <f t="shared" si="0"/>
        <v>100</v>
      </c>
      <c r="F45" s="9">
        <f t="shared" si="1"/>
        <v>0</v>
      </c>
    </row>
    <row r="46" spans="1:7" ht="15" customHeight="1">
      <c r="A46" s="16">
        <v>2024000000</v>
      </c>
      <c r="B46" s="17" t="s">
        <v>21</v>
      </c>
      <c r="C46" s="12">
        <v>949.79280000000006</v>
      </c>
      <c r="D46" s="181">
        <v>938.80903000000001</v>
      </c>
      <c r="E46" s="9">
        <f t="shared" si="0"/>
        <v>98.843561458878185</v>
      </c>
      <c r="F46" s="9">
        <f t="shared" si="1"/>
        <v>-10.98377000000005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8.5" hidden="1" customHeight="1">
      <c r="A48" s="16">
        <v>2080500010</v>
      </c>
      <c r="B48" s="18" t="s">
        <v>240</v>
      </c>
      <c r="C48" s="12"/>
      <c r="D48" s="181"/>
      <c r="E48" s="9"/>
      <c r="F48" s="9"/>
    </row>
    <row r="49" spans="1:8" s="6" customFormat="1" ht="43.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/>
      <c r="B51" s="4" t="s">
        <v>25</v>
      </c>
      <c r="C51" s="244">
        <f>C40+C41</f>
        <v>9784.2703999999994</v>
      </c>
      <c r="D51" s="245">
        <f>D40+D41</f>
        <v>9987.5324799999999</v>
      </c>
      <c r="E51" s="92">
        <f t="shared" si="0"/>
        <v>102.0774372711531</v>
      </c>
      <c r="F51" s="92">
        <f t="shared" si="1"/>
        <v>203.26208000000042</v>
      </c>
      <c r="G51" s="93"/>
      <c r="H51" s="239"/>
    </row>
    <row r="52" spans="1:8" s="6" customFormat="1" ht="16.5" customHeight="1">
      <c r="A52" s="7"/>
      <c r="B52" s="21" t="s">
        <v>300</v>
      </c>
      <c r="C52" s="244">
        <f>C51-C98</f>
        <v>-327.20116000000235</v>
      </c>
      <c r="D52" s="244">
        <f>D51-D98</f>
        <v>109.07664000000113</v>
      </c>
      <c r="E52" s="188"/>
      <c r="F52" s="188"/>
    </row>
    <row r="53" spans="1:8">
      <c r="A53" s="3"/>
      <c r="B53" s="24"/>
      <c r="C53" s="208"/>
      <c r="D53" s="208"/>
      <c r="E53" s="26"/>
      <c r="F53" s="27"/>
    </row>
    <row r="54" spans="1:8" ht="32.25" customHeight="1">
      <c r="A54" s="23"/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387">
        <f>C57+C58+C59+C60+C61+C63+C62</f>
        <v>1621.973</v>
      </c>
      <c r="D56" s="33">
        <f>D57+D58+D59+D60+D61+D63+D62</f>
        <v>1574.0285399999998</v>
      </c>
      <c r="E56" s="34">
        <f>SUM(D56/C56*100)</f>
        <v>97.044065468414075</v>
      </c>
      <c r="F56" s="34">
        <f>SUM(D56-C56)</f>
        <v>-47.944460000000163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1593.9970000000001</v>
      </c>
      <c r="D58" s="189">
        <v>1551.0525399999999</v>
      </c>
      <c r="E58" s="38">
        <f t="shared" ref="E58:E98" si="3">SUM(D58/C58*100)</f>
        <v>97.305863185438852</v>
      </c>
      <c r="F58" s="38">
        <f t="shared" ref="F58:F98" si="4">SUM(D58-C58)</f>
        <v>-42.944460000000163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110.66728000000001</v>
      </c>
      <c r="D64" s="33">
        <f>D65</f>
        <v>110.66728000000001</v>
      </c>
      <c r="E64" s="34">
        <f t="shared" si="3"/>
        <v>100</v>
      </c>
      <c r="F64" s="34">
        <f t="shared" si="4"/>
        <v>0</v>
      </c>
    </row>
    <row r="65" spans="1:9">
      <c r="A65" s="368" t="s">
        <v>45</v>
      </c>
      <c r="B65" s="44" t="s">
        <v>46</v>
      </c>
      <c r="C65" s="189">
        <v>110.66728000000001</v>
      </c>
      <c r="D65" s="189">
        <v>110.66728000000001</v>
      </c>
      <c r="E65" s="38">
        <f t="shared" si="3"/>
        <v>100</v>
      </c>
      <c r="F65" s="38">
        <f t="shared" si="4"/>
        <v>0</v>
      </c>
    </row>
    <row r="66" spans="1:9" s="6" customFormat="1" ht="33" customHeight="1">
      <c r="A66" s="43" t="s">
        <v>47</v>
      </c>
      <c r="B66" s="31" t="s">
        <v>48</v>
      </c>
      <c r="C66" s="33">
        <f>C69+C70+C71</f>
        <v>3</v>
      </c>
      <c r="D66" s="33">
        <f>D69+D70+D71</f>
        <v>2.83134</v>
      </c>
      <c r="E66" s="34">
        <f t="shared" si="3"/>
        <v>94.378</v>
      </c>
      <c r="F66" s="34">
        <f t="shared" si="4"/>
        <v>-0.16866000000000003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1.7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210</v>
      </c>
      <c r="B70" s="47" t="s">
        <v>211</v>
      </c>
      <c r="C70" s="189"/>
      <c r="D70" s="189">
        <v>0</v>
      </c>
      <c r="E70" s="34" t="e">
        <f t="shared" si="3"/>
        <v>#DIV/0!</v>
      </c>
      <c r="F70" s="34">
        <f t="shared" si="4"/>
        <v>0</v>
      </c>
    </row>
    <row r="71" spans="1:9">
      <c r="A71" s="46" t="s">
        <v>330</v>
      </c>
      <c r="B71" s="47" t="s">
        <v>385</v>
      </c>
      <c r="C71" s="189"/>
      <c r="D71" s="189">
        <v>0</v>
      </c>
      <c r="E71" s="34" t="e">
        <f>SUM(D71/C71*100)</f>
        <v>#DIV/0!</v>
      </c>
      <c r="F71" s="34">
        <f>SUM(D71-C71)</f>
        <v>0</v>
      </c>
    </row>
    <row r="72" spans="1:9" s="6" customFormat="1" ht="17.25" customHeight="1">
      <c r="A72" s="369" t="s">
        <v>55</v>
      </c>
      <c r="B72" s="31" t="s">
        <v>56</v>
      </c>
      <c r="C72" s="33">
        <f>SUM(C73:C76)</f>
        <v>2892.2158200000003</v>
      </c>
      <c r="D72" s="33">
        <f>SUM(D73:D76)</f>
        <v>2864.5189300000002</v>
      </c>
      <c r="E72" s="34">
        <f t="shared" si="3"/>
        <v>99.042364341952876</v>
      </c>
      <c r="F72" s="34">
        <f t="shared" si="4"/>
        <v>-27.696890000000167</v>
      </c>
      <c r="I72" s="106"/>
    </row>
    <row r="73" spans="1:9" ht="15.75" customHeight="1">
      <c r="A73" s="35" t="s">
        <v>57</v>
      </c>
      <c r="B73" s="39" t="s">
        <v>58</v>
      </c>
      <c r="C73" s="189">
        <v>34.346299999999999</v>
      </c>
      <c r="D73" s="189">
        <v>34.346299999999999</v>
      </c>
      <c r="E73" s="38">
        <f t="shared" si="3"/>
        <v>100</v>
      </c>
      <c r="F73" s="38">
        <f t="shared" si="4"/>
        <v>0</v>
      </c>
    </row>
    <row r="74" spans="1:9" s="6" customFormat="1" ht="19.5" hidden="1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2827.17263</v>
      </c>
      <c r="E75" s="38">
        <f t="shared" si="3"/>
        <v>99.993036283421489</v>
      </c>
      <c r="F75" s="38">
        <f t="shared" si="4"/>
        <v>-0.19689000000016676</v>
      </c>
    </row>
    <row r="76" spans="1:9">
      <c r="A76" s="35" t="s">
        <v>63</v>
      </c>
      <c r="B76" s="39" t="s">
        <v>64</v>
      </c>
      <c r="C76" s="189">
        <v>30.5</v>
      </c>
      <c r="D76" s="189">
        <v>3</v>
      </c>
      <c r="E76" s="38">
        <f t="shared" si="3"/>
        <v>9.8360655737704921</v>
      </c>
      <c r="F76" s="38">
        <f t="shared" si="4"/>
        <v>-27.5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4753.36546</v>
      </c>
      <c r="D77" s="33">
        <f>SUM(D78:D80)</f>
        <v>4596.1597499999998</v>
      </c>
      <c r="E77" s="34">
        <f t="shared" si="3"/>
        <v>96.692749351529969</v>
      </c>
      <c r="F77" s="34">
        <f t="shared" si="4"/>
        <v>-157.20571000000018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31.5" customHeight="1">
      <c r="A79" s="35" t="s">
        <v>69</v>
      </c>
      <c r="B79" s="51" t="s">
        <v>70</v>
      </c>
      <c r="C79" s="189">
        <v>2768.7538</v>
      </c>
      <c r="D79" s="189">
        <v>2611.8307500000001</v>
      </c>
      <c r="E79" s="38">
        <f t="shared" si="3"/>
        <v>94.332358117215051</v>
      </c>
      <c r="F79" s="38">
        <f t="shared" si="4"/>
        <v>-156.92304999999988</v>
      </c>
    </row>
    <row r="80" spans="1:9">
      <c r="A80" s="35" t="s">
        <v>71</v>
      </c>
      <c r="B80" s="39" t="s">
        <v>72</v>
      </c>
      <c r="C80" s="189">
        <v>1984.61166</v>
      </c>
      <c r="D80" s="189">
        <v>1984.329</v>
      </c>
      <c r="E80" s="38">
        <f t="shared" si="3"/>
        <v>99.985757415130777</v>
      </c>
      <c r="F80" s="38">
        <f t="shared" si="4"/>
        <v>-0.28266000000007807</v>
      </c>
    </row>
    <row r="81" spans="1:12" s="6" customFormat="1">
      <c r="A81" s="30" t="s">
        <v>81</v>
      </c>
      <c r="B81" s="31" t="s">
        <v>82</v>
      </c>
      <c r="C81" s="33">
        <f>C82</f>
        <v>705.42</v>
      </c>
      <c r="D81" s="33">
        <f>SUM(D82)</f>
        <v>705.42</v>
      </c>
      <c r="E81" s="34">
        <f t="shared" si="3"/>
        <v>100</v>
      </c>
      <c r="F81" s="34">
        <f t="shared" si="4"/>
        <v>0</v>
      </c>
    </row>
    <row r="82" spans="1:12" ht="15.75" customHeight="1">
      <c r="A82" s="35" t="s">
        <v>83</v>
      </c>
      <c r="B82" s="39" t="s">
        <v>225</v>
      </c>
      <c r="C82" s="189">
        <v>705.42</v>
      </c>
      <c r="D82" s="189">
        <v>705.42</v>
      </c>
      <c r="E82" s="38">
        <f t="shared" si="3"/>
        <v>100</v>
      </c>
      <c r="F82" s="38">
        <f t="shared" si="4"/>
        <v>0</v>
      </c>
      <c r="L82" s="105"/>
    </row>
    <row r="83" spans="1:12" s="6" customFormat="1">
      <c r="A83" s="35" t="s">
        <v>203</v>
      </c>
      <c r="B83" s="31" t="s">
        <v>84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85</v>
      </c>
      <c r="C84" s="189"/>
      <c r="D84" s="189"/>
      <c r="E84" s="234" t="e">
        <f>SUM(D84/C84*100)</f>
        <v>#DIV/0!</v>
      </c>
      <c r="F84" s="234">
        <f>SUM(D84-C84)</f>
        <v>0</v>
      </c>
    </row>
    <row r="85" spans="1:12" hidden="1">
      <c r="A85" s="53">
        <v>1001</v>
      </c>
      <c r="B85" s="54" t="s">
        <v>86</v>
      </c>
      <c r="C85" s="189"/>
      <c r="D85" s="189"/>
      <c r="E85" s="234" t="e">
        <f>SUM(D85/C85*100)</f>
        <v>#DIV/0!</v>
      </c>
      <c r="F85" s="234">
        <f>SUM(D85-C85)</f>
        <v>0</v>
      </c>
    </row>
    <row r="86" spans="1:12" hidden="1">
      <c r="A86" s="53">
        <v>1003</v>
      </c>
      <c r="B86" s="54" t="s">
        <v>87</v>
      </c>
      <c r="C86" s="189"/>
      <c r="D86" s="192"/>
      <c r="E86" s="234" t="e">
        <f>SUM(D86/C86*100)</f>
        <v>#DIV/0!</v>
      </c>
      <c r="F86" s="234">
        <f>SUM(D86-C86)</f>
        <v>0</v>
      </c>
    </row>
    <row r="87" spans="1:12" ht="15" customHeight="1">
      <c r="A87" s="53">
        <v>1004</v>
      </c>
      <c r="B87" s="39" t="s">
        <v>89</v>
      </c>
      <c r="C87" s="189">
        <v>0</v>
      </c>
      <c r="D87" s="189">
        <v>0</v>
      </c>
      <c r="E87" s="234" t="e">
        <f>SUM(D87/C87*100)</f>
        <v>#DIV/0!</v>
      </c>
      <c r="F87" s="234">
        <f>SUM(D87-C87)</f>
        <v>0</v>
      </c>
    </row>
    <row r="88" spans="1:12" ht="19.5" customHeight="1">
      <c r="A88" s="30" t="s">
        <v>90</v>
      </c>
      <c r="B88" s="31" t="s">
        <v>91</v>
      </c>
      <c r="C88" s="33">
        <f>C89+C90+C91+C92+C93</f>
        <v>24.83</v>
      </c>
      <c r="D88" s="33">
        <f>D89+D90+D91+D92+D93</f>
        <v>24.83</v>
      </c>
      <c r="E88" s="38">
        <f t="shared" si="3"/>
        <v>100</v>
      </c>
      <c r="F88" s="22">
        <f>F89+F90+F91+F92+F93</f>
        <v>0</v>
      </c>
    </row>
    <row r="89" spans="1:12" ht="15.75" customHeight="1">
      <c r="A89" s="35" t="s">
        <v>92</v>
      </c>
      <c r="B89" s="39" t="s">
        <v>93</v>
      </c>
      <c r="C89" s="189">
        <v>24.83</v>
      </c>
      <c r="D89" s="189">
        <v>24.83</v>
      </c>
      <c r="E89" s="38">
        <f t="shared" si="3"/>
        <v>100</v>
      </c>
      <c r="F89" s="38">
        <f>SUM(D89-C89)</f>
        <v>0</v>
      </c>
    </row>
    <row r="90" spans="1:12" ht="0.75" hidden="1" customHeight="1">
      <c r="A90" s="35" t="s">
        <v>92</v>
      </c>
      <c r="B90" s="39" t="s">
        <v>95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94</v>
      </c>
      <c r="B91" s="39" t="s">
        <v>97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96</v>
      </c>
      <c r="B92" s="39" t="s">
        <v>99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98</v>
      </c>
      <c r="B93" s="39" t="s">
        <v>101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100</v>
      </c>
      <c r="B94" s="56" t="s">
        <v>109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110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111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112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113</v>
      </c>
      <c r="C98" s="246">
        <f>C56+C64+C66+C72+C77+C81+C88+C83</f>
        <v>10111.471560000002</v>
      </c>
      <c r="D98" s="246">
        <f>D56+D64+D66+D72+D77+D81+D88+D83</f>
        <v>9878.4558399999987</v>
      </c>
      <c r="E98" s="34">
        <f t="shared" si="3"/>
        <v>97.695531074608468</v>
      </c>
      <c r="F98" s="34">
        <f t="shared" si="4"/>
        <v>-233.01572000000306</v>
      </c>
      <c r="G98" s="146"/>
      <c r="H98" s="260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114</v>
      </c>
      <c r="B101" s="66"/>
      <c r="C101" s="132" t="s">
        <v>116</v>
      </c>
      <c r="D101" s="132"/>
    </row>
    <row r="102" spans="1:8">
      <c r="A102" s="66" t="s">
        <v>115</v>
      </c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A486C6EE-08B2-475E-8DA1-C3C3163412A9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F1E84C44-1ACD-474A-BDE0-C7088DB6C590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6"/>
    </customSheetView>
    <customSheetView guid="{B30CE22D-C12F-4E12-8BB9-3AAE0A6991CC}" scale="70" showPageBreaks="1" hiddenRows="1" view="pageBreakPreview" topLeftCell="A50">
      <selection activeCell="D99" sqref="D99"/>
      <pageMargins left="0.70866141732283472" right="0.70866141732283472" top="0.74803149606299213" bottom="0.74803149606299213" header="0.31496062992125984" footer="0.31496062992125984"/>
      <pageSetup paperSize="9" scale="53" orientation="portrait" r:id="rId7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8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9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10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4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28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13.1406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627" t="s">
        <v>413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43.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2365.75</v>
      </c>
      <c r="D4" s="5">
        <f>D5+D12+D14+D17+D7</f>
        <v>2434.09537</v>
      </c>
      <c r="E4" s="5">
        <f>SUM(D4/C4*100)</f>
        <v>102.88895149529746</v>
      </c>
      <c r="F4" s="5">
        <f>SUM(D4-C4)</f>
        <v>68.345370000000003</v>
      </c>
    </row>
    <row r="5" spans="1:6" s="6" customFormat="1">
      <c r="A5" s="68">
        <v>1010000000</v>
      </c>
      <c r="B5" s="67" t="s">
        <v>5</v>
      </c>
      <c r="C5" s="5">
        <f>C6</f>
        <v>149</v>
      </c>
      <c r="D5" s="5">
        <f>D6</f>
        <v>177.08707000000001</v>
      </c>
      <c r="E5" s="5">
        <f t="shared" ref="E5:E50" si="0">SUM(D5/C5*100)</f>
        <v>118.85038255033558</v>
      </c>
      <c r="F5" s="5">
        <f t="shared" ref="F5:F50" si="1">SUM(D5-C5)</f>
        <v>28.087070000000011</v>
      </c>
    </row>
    <row r="6" spans="1:6">
      <c r="A6" s="7">
        <v>1010200001</v>
      </c>
      <c r="B6" s="8" t="s">
        <v>220</v>
      </c>
      <c r="C6" s="9">
        <v>149</v>
      </c>
      <c r="D6" s="10">
        <v>177.08707000000001</v>
      </c>
      <c r="E6" s="9">
        <f t="shared" ref="E6:E11" si="2">SUM(D6/C6*100)</f>
        <v>118.85038255033558</v>
      </c>
      <c r="F6" s="9">
        <f t="shared" si="1"/>
        <v>28.087070000000011</v>
      </c>
    </row>
    <row r="7" spans="1:6" ht="31.5">
      <c r="A7" s="3">
        <v>1030000000</v>
      </c>
      <c r="B7" s="13" t="s">
        <v>259</v>
      </c>
      <c r="C7" s="5">
        <f>C8+C10+C9</f>
        <v>675.75</v>
      </c>
      <c r="D7" s="5">
        <f>D8+D10+D9+D11</f>
        <v>798.9091699999999</v>
      </c>
      <c r="E7" s="5">
        <f t="shared" si="2"/>
        <v>118.22555234924157</v>
      </c>
      <c r="F7" s="5">
        <f t="shared" si="1"/>
        <v>123.1591699999999</v>
      </c>
    </row>
    <row r="8" spans="1:6">
      <c r="A8" s="7">
        <v>1030223001</v>
      </c>
      <c r="B8" s="8" t="s">
        <v>261</v>
      </c>
      <c r="C8" s="9">
        <v>252.05500000000001</v>
      </c>
      <c r="D8" s="10">
        <v>400.49876999999998</v>
      </c>
      <c r="E8" s="9">
        <f t="shared" si="2"/>
        <v>158.89340421733351</v>
      </c>
      <c r="F8" s="9">
        <f t="shared" si="1"/>
        <v>148.44376999999997</v>
      </c>
    </row>
    <row r="9" spans="1:6">
      <c r="A9" s="7">
        <v>1030224001</v>
      </c>
      <c r="B9" s="8" t="s">
        <v>267</v>
      </c>
      <c r="C9" s="9">
        <v>2.7029999999999998</v>
      </c>
      <c r="D9" s="10">
        <v>2.1633399999999998</v>
      </c>
      <c r="E9" s="9">
        <f t="shared" si="2"/>
        <v>80.034776174620788</v>
      </c>
      <c r="F9" s="9">
        <f t="shared" si="1"/>
        <v>-0.53966000000000003</v>
      </c>
    </row>
    <row r="10" spans="1:6">
      <c r="A10" s="7">
        <v>1030225001</v>
      </c>
      <c r="B10" s="8" t="s">
        <v>260</v>
      </c>
      <c r="C10" s="9">
        <v>420.99200000000002</v>
      </c>
      <c r="D10" s="10">
        <v>442.19587999999999</v>
      </c>
      <c r="E10" s="9">
        <f t="shared" si="2"/>
        <v>105.03664677713589</v>
      </c>
      <c r="F10" s="9">
        <f t="shared" si="1"/>
        <v>21.20387999999997</v>
      </c>
    </row>
    <row r="11" spans="1:6">
      <c r="A11" s="7">
        <v>1030226001</v>
      </c>
      <c r="B11" s="8" t="s">
        <v>269</v>
      </c>
      <c r="C11" s="9">
        <v>0</v>
      </c>
      <c r="D11" s="10">
        <v>-45.948819999999998</v>
      </c>
      <c r="E11" s="9" t="e">
        <f t="shared" si="2"/>
        <v>#DIV/0!</v>
      </c>
      <c r="F11" s="9">
        <f t="shared" si="1"/>
        <v>-45.948819999999998</v>
      </c>
    </row>
    <row r="12" spans="1:6" s="6" customFormat="1">
      <c r="A12" s="68">
        <v>1050000000</v>
      </c>
      <c r="B12" s="67" t="s">
        <v>6</v>
      </c>
      <c r="C12" s="5">
        <f>SUM(C13:C13)</f>
        <v>80</v>
      </c>
      <c r="D12" s="5">
        <f>SUM(D13:D13)</f>
        <v>81.321929999999995</v>
      </c>
      <c r="E12" s="5">
        <f t="shared" si="0"/>
        <v>101.65241249999998</v>
      </c>
      <c r="F12" s="5">
        <f t="shared" si="1"/>
        <v>1.3219299999999947</v>
      </c>
    </row>
    <row r="13" spans="1:6" ht="15.75" customHeight="1">
      <c r="A13" s="7">
        <v>1050300000</v>
      </c>
      <c r="B13" s="11" t="s">
        <v>221</v>
      </c>
      <c r="C13" s="12">
        <v>80</v>
      </c>
      <c r="D13" s="10">
        <v>81.321929999999995</v>
      </c>
      <c r="E13" s="9">
        <f t="shared" si="0"/>
        <v>101.65241249999998</v>
      </c>
      <c r="F13" s="9">
        <f t="shared" si="1"/>
        <v>1.3219299999999947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1453</v>
      </c>
      <c r="D14" s="5">
        <f>D15+D16</f>
        <v>1373.5771999999999</v>
      </c>
      <c r="E14" s="5">
        <f t="shared" si="0"/>
        <v>94.53387474191328</v>
      </c>
      <c r="F14" s="5">
        <f t="shared" si="1"/>
        <v>-79.422800000000052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411.26123999999999</v>
      </c>
      <c r="E15" s="9">
        <f t="shared" si="0"/>
        <v>94.979501154734407</v>
      </c>
      <c r="F15" s="9">
        <f>SUM(D15-C15)</f>
        <v>-21.738760000000013</v>
      </c>
    </row>
    <row r="16" spans="1:6" ht="15.75" customHeight="1">
      <c r="A16" s="7">
        <v>1060600000</v>
      </c>
      <c r="B16" s="11" t="s">
        <v>7</v>
      </c>
      <c r="C16" s="9">
        <v>1020</v>
      </c>
      <c r="D16" s="10">
        <v>962.31596000000002</v>
      </c>
      <c r="E16" s="9">
        <f t="shared" si="0"/>
        <v>94.34470196078432</v>
      </c>
      <c r="F16" s="9">
        <f t="shared" si="1"/>
        <v>-57.684039999999982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5" customHeight="1">
      <c r="A18" s="7">
        <v>1080400001</v>
      </c>
      <c r="B18" s="8" t="s">
        <v>219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498</v>
      </c>
      <c r="D25" s="5">
        <f>D26+D29+D31+D34+D36</f>
        <v>1916.86304</v>
      </c>
      <c r="E25" s="5">
        <f t="shared" si="0"/>
        <v>384.91225702811244</v>
      </c>
      <c r="F25" s="5">
        <f t="shared" si="1"/>
        <v>1418.86304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418</v>
      </c>
      <c r="D26" s="5">
        <f>D27+D28</f>
        <v>528.69868999999994</v>
      </c>
      <c r="E26" s="5">
        <f t="shared" si="0"/>
        <v>126.48294019138756</v>
      </c>
      <c r="F26" s="5">
        <f t="shared" si="1"/>
        <v>110.69868999999994</v>
      </c>
    </row>
    <row r="27" spans="1:6">
      <c r="A27" s="16">
        <v>1110502510</v>
      </c>
      <c r="B27" s="17" t="s">
        <v>217</v>
      </c>
      <c r="C27" s="12">
        <v>388</v>
      </c>
      <c r="D27" s="10">
        <v>499.31668999999999</v>
      </c>
      <c r="E27" s="9">
        <f t="shared" si="0"/>
        <v>128.68986855670104</v>
      </c>
      <c r="F27" s="9">
        <f t="shared" si="1"/>
        <v>111.31668999999999</v>
      </c>
    </row>
    <row r="28" spans="1:6">
      <c r="A28" s="7">
        <v>1110503510</v>
      </c>
      <c r="B28" s="11" t="s">
        <v>216</v>
      </c>
      <c r="C28" s="12">
        <v>30</v>
      </c>
      <c r="D28" s="10">
        <v>29.382000000000001</v>
      </c>
      <c r="E28" s="9">
        <f t="shared" si="0"/>
        <v>97.94</v>
      </c>
      <c r="F28" s="9">
        <f t="shared" si="1"/>
        <v>-0.61799999999999855</v>
      </c>
    </row>
    <row r="29" spans="1:6" s="15" customFormat="1" ht="19.5" customHeight="1">
      <c r="A29" s="68">
        <v>1130000000</v>
      </c>
      <c r="B29" s="69" t="s">
        <v>124</v>
      </c>
      <c r="C29" s="5">
        <f>C30</f>
        <v>80</v>
      </c>
      <c r="D29" s="5">
        <f>D30</f>
        <v>97.995909999999995</v>
      </c>
      <c r="E29" s="5">
        <f t="shared" si="0"/>
        <v>122.49488749999999</v>
      </c>
      <c r="F29" s="5">
        <f t="shared" si="1"/>
        <v>17.995909999999995</v>
      </c>
    </row>
    <row r="30" spans="1:6" ht="36" customHeight="1">
      <c r="A30" s="7">
        <v>1130206510</v>
      </c>
      <c r="B30" s="8" t="s">
        <v>397</v>
      </c>
      <c r="C30" s="9">
        <v>80</v>
      </c>
      <c r="D30" s="10">
        <v>97.995909999999995</v>
      </c>
      <c r="E30" s="9">
        <f t="shared" si="0"/>
        <v>122.49488749999999</v>
      </c>
      <c r="F30" s="9">
        <f t="shared" si="1"/>
        <v>17.995909999999995</v>
      </c>
    </row>
    <row r="31" spans="1:6" ht="25.5" customHeight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9">
        <f>C35</f>
        <v>0</v>
      </c>
      <c r="D34" s="14">
        <v>43.13044</v>
      </c>
      <c r="E34" s="9" t="e">
        <f t="shared" si="0"/>
        <v>#DIV/0!</v>
      </c>
      <c r="F34" s="9">
        <f t="shared" si="1"/>
        <v>43.13044</v>
      </c>
    </row>
    <row r="35" spans="1:7" ht="28.5" customHeight="1">
      <c r="A35" s="7">
        <v>1160701000</v>
      </c>
      <c r="B35" s="8" t="s">
        <v>426</v>
      </c>
      <c r="C35" s="9"/>
      <c r="D35" s="10">
        <v>43.13044</v>
      </c>
      <c r="E35" s="9" t="e">
        <f t="shared" si="0"/>
        <v>#DIV/0!</v>
      </c>
      <c r="F35" s="9">
        <f t="shared" si="1"/>
        <v>43.13044</v>
      </c>
    </row>
    <row r="36" spans="1:7" ht="24.75" customHeight="1">
      <c r="A36" s="3">
        <v>1170000000</v>
      </c>
      <c r="B36" s="13" t="s">
        <v>128</v>
      </c>
      <c r="C36" s="5">
        <f>C37+C38</f>
        <v>0</v>
      </c>
      <c r="D36" s="5">
        <f>D37+D38</f>
        <v>1247.038</v>
      </c>
      <c r="E36" s="9" t="e">
        <f t="shared" si="0"/>
        <v>#DIV/0!</v>
      </c>
      <c r="F36" s="5">
        <f t="shared" si="1"/>
        <v>1247.038</v>
      </c>
    </row>
    <row r="37" spans="1:7" ht="18" customHeight="1">
      <c r="A37" s="7">
        <v>1171503010</v>
      </c>
      <c r="B37" s="8" t="s">
        <v>406</v>
      </c>
      <c r="C37" s="9">
        <f>C38</f>
        <v>0</v>
      </c>
      <c r="D37" s="9">
        <v>1247.038</v>
      </c>
      <c r="E37" s="9" t="e">
        <f t="shared" si="0"/>
        <v>#DIV/0!</v>
      </c>
      <c r="F37" s="9">
        <f t="shared" si="1"/>
        <v>1247.038</v>
      </c>
    </row>
    <row r="38" spans="1:7" ht="15" hidden="1" customHeight="1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2863.75</v>
      </c>
      <c r="D39" s="125">
        <f>SUM(D4,D25)</f>
        <v>4350.9584100000002</v>
      </c>
      <c r="E39" s="5">
        <f t="shared" si="0"/>
        <v>151.93220113487561</v>
      </c>
      <c r="F39" s="5">
        <f t="shared" si="1"/>
        <v>1487.2084100000002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10903.501459999999</v>
      </c>
      <c r="D40" s="5">
        <f>SUM(D41:D48)</f>
        <v>10878.82494</v>
      </c>
      <c r="E40" s="5">
        <f t="shared" si="0"/>
        <v>99.773682609292749</v>
      </c>
      <c r="F40" s="5">
        <f t="shared" si="1"/>
        <v>-24.676519999999073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3">
        <v>2417.4</v>
      </c>
      <c r="E41" s="9">
        <f t="shared" si="0"/>
        <v>100</v>
      </c>
      <c r="F41" s="9">
        <f t="shared" si="1"/>
        <v>0</v>
      </c>
    </row>
    <row r="42" spans="1:7" ht="15" hidden="1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6027.2349999999997</v>
      </c>
      <c r="D43" s="10">
        <v>6027.2349999999997</v>
      </c>
      <c r="E43" s="9">
        <f t="shared" si="0"/>
        <v>100</v>
      </c>
      <c r="F43" s="9">
        <f t="shared" si="1"/>
        <v>0</v>
      </c>
    </row>
    <row r="44" spans="1:7" ht="18.75" customHeight="1">
      <c r="A44" s="16">
        <v>2023000000</v>
      </c>
      <c r="B44" s="17" t="s">
        <v>20</v>
      </c>
      <c r="C44" s="12">
        <v>109.41849000000001</v>
      </c>
      <c r="D44" s="180">
        <v>109.41849000000001</v>
      </c>
      <c r="E44" s="9">
        <f t="shared" si="0"/>
        <v>100</v>
      </c>
      <c r="F44" s="9">
        <f t="shared" si="1"/>
        <v>0</v>
      </c>
    </row>
    <row r="45" spans="1:7" ht="17.25" customHeight="1">
      <c r="A45" s="16">
        <v>2024000000</v>
      </c>
      <c r="B45" s="17" t="s">
        <v>21</v>
      </c>
      <c r="C45" s="12">
        <v>2349.4479700000002</v>
      </c>
      <c r="D45" s="181">
        <v>2324.7714500000002</v>
      </c>
      <c r="E45" s="9">
        <f t="shared" si="0"/>
        <v>98.949688594295623</v>
      </c>
      <c r="F45" s="9">
        <f t="shared" si="1"/>
        <v>-24.676519999999982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5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281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5">
        <v>2190000010</v>
      </c>
      <c r="B49" s="236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0">
        <f>C39+C40</f>
        <v>13767.251459999999</v>
      </c>
      <c r="D50" s="241">
        <f>D39+D40</f>
        <v>15229.783350000002</v>
      </c>
      <c r="E50" s="5">
        <f t="shared" si="0"/>
        <v>110.62326706423072</v>
      </c>
      <c r="F50" s="5">
        <f t="shared" si="1"/>
        <v>1462.531890000002</v>
      </c>
      <c r="G50" s="93"/>
      <c r="H50" s="259"/>
    </row>
    <row r="51" spans="1:8" s="6" customFormat="1">
      <c r="A51" s="3"/>
      <c r="B51" s="21" t="s">
        <v>299</v>
      </c>
      <c r="C51" s="92">
        <f>C50-C97</f>
        <v>-384.86571000000004</v>
      </c>
      <c r="D51" s="92">
        <f>D50-D97</f>
        <v>1293.0211400000026</v>
      </c>
      <c r="E51" s="22"/>
      <c r="F51" s="22"/>
    </row>
    <row r="52" spans="1:8">
      <c r="A52" s="23"/>
      <c r="B52" s="24"/>
      <c r="C52" s="232"/>
      <c r="D52" s="232" t="s">
        <v>312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1975.951</v>
      </c>
      <c r="D55" s="32">
        <f>D56+D57+D58+D59+D60+D62+D61</f>
        <v>1916.6508399999998</v>
      </c>
      <c r="E55" s="34">
        <f>SUM(D55/C55*100)</f>
        <v>96.998905337227484</v>
      </c>
      <c r="F55" s="34">
        <f>SUM(D55-C55)</f>
        <v>-59.300160000000233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1915.6289999999999</v>
      </c>
      <c r="D57" s="37">
        <v>1877.3288399999999</v>
      </c>
      <c r="E57" s="34">
        <f>SUM(D57/C57*100)</f>
        <v>98.000648351011606</v>
      </c>
      <c r="F57" s="38">
        <f t="shared" ref="F57:F97" si="3">SUM(D57-C57)</f>
        <v>-38.300160000000005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</v>
      </c>
      <c r="D61" s="40">
        <v>0</v>
      </c>
      <c r="E61" s="38">
        <f t="shared" si="4"/>
        <v>0</v>
      </c>
      <c r="F61" s="38">
        <f t="shared" si="3"/>
        <v>-1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39.322000000000003</v>
      </c>
      <c r="E62" s="38">
        <f t="shared" si="4"/>
        <v>66.285695020397156</v>
      </c>
      <c r="F62" s="38">
        <f t="shared" si="3"/>
        <v>-20</v>
      </c>
    </row>
    <row r="63" spans="1:8" s="6" customFormat="1">
      <c r="A63" s="41" t="s">
        <v>43</v>
      </c>
      <c r="B63" s="42" t="s">
        <v>44</v>
      </c>
      <c r="C63" s="32">
        <f>C64</f>
        <v>109.41849000000001</v>
      </c>
      <c r="D63" s="32">
        <f>D64</f>
        <v>109.41849000000001</v>
      </c>
      <c r="E63" s="34">
        <f t="shared" si="4"/>
        <v>100</v>
      </c>
      <c r="F63" s="34">
        <f t="shared" si="3"/>
        <v>0</v>
      </c>
    </row>
    <row r="64" spans="1:8">
      <c r="A64" s="43" t="s">
        <v>45</v>
      </c>
      <c r="B64" s="44" t="s">
        <v>46</v>
      </c>
      <c r="C64" s="37">
        <v>109.41849000000001</v>
      </c>
      <c r="D64" s="37">
        <v>109.41849000000001</v>
      </c>
      <c r="E64" s="38">
        <f t="shared" si="4"/>
        <v>100</v>
      </c>
      <c r="F64" s="38">
        <f t="shared" si="3"/>
        <v>0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224.83500000000001</v>
      </c>
      <c r="D65" s="32">
        <f>SUM(D68+D69+D70)</f>
        <v>223.83735000000001</v>
      </c>
      <c r="E65" s="34">
        <f t="shared" si="4"/>
        <v>99.556274601374341</v>
      </c>
      <c r="F65" s="34">
        <f t="shared" si="3"/>
        <v>-0.99764999999999304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33.835000000000001</v>
      </c>
      <c r="D68" s="37">
        <v>33.831339999999997</v>
      </c>
      <c r="E68" s="34">
        <f t="shared" si="4"/>
        <v>99.989182798876897</v>
      </c>
      <c r="F68" s="34">
        <f t="shared" si="3"/>
        <v>-3.6600000000035493E-3</v>
      </c>
    </row>
    <row r="69" spans="1:7">
      <c r="A69" s="46" t="s">
        <v>210</v>
      </c>
      <c r="B69" s="47" t="s">
        <v>211</v>
      </c>
      <c r="C69" s="37">
        <v>189</v>
      </c>
      <c r="D69" s="37">
        <v>188.00601</v>
      </c>
      <c r="E69" s="34">
        <f t="shared" si="4"/>
        <v>99.474079365079376</v>
      </c>
      <c r="F69" s="34">
        <f t="shared" si="3"/>
        <v>-0.9939899999999966</v>
      </c>
    </row>
    <row r="70" spans="1:7">
      <c r="A70" s="46" t="s">
        <v>330</v>
      </c>
      <c r="B70" s="47" t="s">
        <v>385</v>
      </c>
      <c r="C70" s="37">
        <v>2</v>
      </c>
      <c r="D70" s="37">
        <v>2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2267.98171</v>
      </c>
      <c r="D71" s="48">
        <f>SUM(D72:D75)</f>
        <v>2143.27207</v>
      </c>
      <c r="E71" s="34">
        <f t="shared" si="4"/>
        <v>94.501294280719748</v>
      </c>
      <c r="F71" s="34">
        <f t="shared" si="3"/>
        <v>-124.70964000000004</v>
      </c>
    </row>
    <row r="72" spans="1:7">
      <c r="A72" s="35" t="s">
        <v>57</v>
      </c>
      <c r="B72" s="39" t="s">
        <v>58</v>
      </c>
      <c r="C72" s="49">
        <v>41.2</v>
      </c>
      <c r="D72" s="37">
        <v>41.2</v>
      </c>
      <c r="E72" s="38">
        <f t="shared" si="4"/>
        <v>100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2038.5720699999999</v>
      </c>
      <c r="E74" s="38">
        <f t="shared" si="4"/>
        <v>96.164425608445853</v>
      </c>
      <c r="F74" s="38">
        <f t="shared" si="3"/>
        <v>-81.309640000000172</v>
      </c>
    </row>
    <row r="75" spans="1:7">
      <c r="A75" s="35" t="s">
        <v>63</v>
      </c>
      <c r="B75" s="39" t="s">
        <v>64</v>
      </c>
      <c r="C75" s="49">
        <v>106.9</v>
      </c>
      <c r="D75" s="37">
        <v>63.5</v>
      </c>
      <c r="E75" s="38">
        <f t="shared" si="4"/>
        <v>59.401309635173064</v>
      </c>
      <c r="F75" s="38">
        <f t="shared" si="3"/>
        <v>-43.400000000000006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6621.64545</v>
      </c>
      <c r="D76" s="32">
        <f>SUM(D77:D79)</f>
        <v>6616.0744599999998</v>
      </c>
      <c r="E76" s="34">
        <f t="shared" si="4"/>
        <v>99.915866984391329</v>
      </c>
      <c r="F76" s="34">
        <f t="shared" si="3"/>
        <v>-5.5709900000001653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" customHeight="1">
      <c r="A78" s="35" t="s">
        <v>69</v>
      </c>
      <c r="B78" s="51" t="s">
        <v>70</v>
      </c>
      <c r="C78" s="37">
        <v>6158.3604500000001</v>
      </c>
      <c r="D78" s="37">
        <v>6152.7915400000002</v>
      </c>
      <c r="E78" s="38">
        <f t="shared" si="4"/>
        <v>99.909571548381848</v>
      </c>
      <c r="F78" s="38">
        <f t="shared" si="3"/>
        <v>-5.5689099999999598</v>
      </c>
    </row>
    <row r="79" spans="1:7">
      <c r="A79" s="35" t="s">
        <v>71</v>
      </c>
      <c r="B79" s="39" t="s">
        <v>72</v>
      </c>
      <c r="C79" s="37">
        <v>463.28500000000003</v>
      </c>
      <c r="D79" s="37">
        <v>463.28291999999999</v>
      </c>
      <c r="E79" s="38">
        <f t="shared" si="4"/>
        <v>99.999551032301923</v>
      </c>
      <c r="F79" s="38">
        <f t="shared" si="3"/>
        <v>-2.0800000000349428E-3</v>
      </c>
    </row>
    <row r="80" spans="1:7" s="6" customFormat="1">
      <c r="A80" s="30" t="s">
        <v>81</v>
      </c>
      <c r="B80" s="31" t="s">
        <v>82</v>
      </c>
      <c r="C80" s="32">
        <f>C81</f>
        <v>2920.6515199999999</v>
      </c>
      <c r="D80" s="32">
        <f>SUM(D81)</f>
        <v>2895.875</v>
      </c>
      <c r="E80" s="34">
        <f t="shared" si="4"/>
        <v>99.151678321417819</v>
      </c>
      <c r="F80" s="34">
        <f t="shared" si="3"/>
        <v>-24.776519999999891</v>
      </c>
    </row>
    <row r="81" spans="1:6" ht="15.75" customHeight="1">
      <c r="A81" s="35" t="s">
        <v>83</v>
      </c>
      <c r="B81" s="39" t="s">
        <v>225</v>
      </c>
      <c r="C81" s="37">
        <v>2920.6515199999999</v>
      </c>
      <c r="D81" s="37">
        <v>2895.875</v>
      </c>
      <c r="E81" s="38">
        <f t="shared" si="4"/>
        <v>99.151678321417819</v>
      </c>
      <c r="F81" s="38">
        <f t="shared" si="3"/>
        <v>-24.776519999999891</v>
      </c>
    </row>
    <row r="82" spans="1:6" s="6" customFormat="1" ht="0.7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85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87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88</v>
      </c>
      <c r="B86" s="39" t="s">
        <v>89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90</v>
      </c>
      <c r="B87" s="31" t="s">
        <v>91</v>
      </c>
      <c r="C87" s="32">
        <f>C88+C89+C90+C91+C92</f>
        <v>31.634</v>
      </c>
      <c r="D87" s="32">
        <f>D88+D89+D90+D91+D92</f>
        <v>31.634</v>
      </c>
      <c r="E87" s="38">
        <f t="shared" si="4"/>
        <v>100</v>
      </c>
      <c r="F87" s="22">
        <f>F88+F89+F90+F91+F92</f>
        <v>0</v>
      </c>
    </row>
    <row r="88" spans="1:6" ht="17.25" customHeight="1">
      <c r="A88" s="35" t="s">
        <v>92</v>
      </c>
      <c r="B88" s="39" t="s">
        <v>93</v>
      </c>
      <c r="C88" s="37">
        <v>31.634</v>
      </c>
      <c r="D88" s="37">
        <v>31.634</v>
      </c>
      <c r="E88" s="38">
        <f t="shared" si="4"/>
        <v>100</v>
      </c>
      <c r="F88" s="38">
        <f>SUM(D88-C88)</f>
        <v>0</v>
      </c>
    </row>
    <row r="89" spans="1:6" ht="15.75" hidden="1" customHeight="1">
      <c r="A89" s="35" t="s">
        <v>94</v>
      </c>
      <c r="B89" s="39" t="s">
        <v>95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110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111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112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113</v>
      </c>
      <c r="C97" s="243">
        <f>C55+C63+C71+C76+C80+C82+C87+C65+C93</f>
        <v>14152.11717</v>
      </c>
      <c r="D97" s="243">
        <f>D55+D63+D71+D76+D80+D82+D87+D65+D93</f>
        <v>13936.762209999999</v>
      </c>
      <c r="E97" s="34">
        <f t="shared" si="4"/>
        <v>98.478284503914963</v>
      </c>
      <c r="F97" s="34">
        <f t="shared" si="3"/>
        <v>-215.35496000000057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114</v>
      </c>
      <c r="B99" s="63"/>
      <c r="C99" s="178"/>
      <c r="D99" s="178"/>
      <c r="E99" s="64"/>
    </row>
    <row r="100" spans="1:8" s="65" customFormat="1" ht="20.25" customHeight="1">
      <c r="A100" s="66" t="s">
        <v>115</v>
      </c>
      <c r="B100" s="66"/>
      <c r="C100" s="65" t="s">
        <v>116</v>
      </c>
    </row>
    <row r="101" spans="1:8" ht="13.5" customHeight="1">
      <c r="C101" s="118"/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A486C6EE-08B2-475E-8DA1-C3C3163412A9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F1E84C44-1ACD-474A-BDE0-C7088DB6C590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F85EE840-0C31-454A-8951-832C2E9E0600}" scale="70" showPageBreaks="1" printArea="1" hiddenRows="1" state="hidden" view="pageBreakPreview" topLeftCell="A2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  <customSheetView guid="{3DCB9AAA-F09C-4EA6-B992-F93E466D374A}" printArea="1" hiddenRows="1" topLeftCell="A37">
      <selection activeCell="B100" sqref="B100"/>
      <pageMargins left="0.7" right="0.7" top="0.75" bottom="0.75" header="0.3" footer="0.3"/>
      <pageSetup paperSize="9" scale="57" orientation="portrait" r:id="rId5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3" orientation="portrait" r:id="rId6"/>
    </customSheetView>
    <customSheetView guid="{B30CE22D-C12F-4E12-8BB9-3AAE0A6991CC}" scale="70" showPageBreaks="1" printArea="1" hiddenRows="1" view="pageBreakPreview" topLeftCell="A26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7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8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9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10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5C539BE6-C8E0-453F-AB5E-9E58094195EA}" scale="70" showPageBreaks="1" printArea="1" hiddenRows="1" view="pageBreakPreview" topLeftCell="A31">
      <selection activeCell="A34" sqref="A34:B34"/>
      <pageMargins left="0.70866141732283472" right="0.70866141732283472" top="0.74803149606299213" bottom="0.74803149606299213" header="0.31496062992125984" footer="0.31496062992125984"/>
      <pageSetup paperSize="9" scale="55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4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/>
  <dimension ref="A1:H143"/>
  <sheetViews>
    <sheetView view="pageBreakPreview" topLeftCell="A34" zoomScale="70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627" t="s">
        <v>412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1452.3761</v>
      </c>
      <c r="E4" s="5">
        <f>SUM(D4/C4*100)</f>
        <v>113.98963214114728</v>
      </c>
      <c r="F4" s="5">
        <f>SUM(D4-C4)</f>
        <v>178.24609999999984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214.43786</v>
      </c>
      <c r="E5" s="5">
        <f t="shared" ref="E5:E53" si="0">SUM(D5/C5*100)</f>
        <v>125.40225730994152</v>
      </c>
      <c r="F5" s="5">
        <f t="shared" ref="F5:F53" si="1">SUM(D5-C5)</f>
        <v>43.437860000000001</v>
      </c>
    </row>
    <row r="6" spans="1:6">
      <c r="A6" s="7">
        <v>1010200001</v>
      </c>
      <c r="B6" s="8" t="s">
        <v>220</v>
      </c>
      <c r="C6" s="9">
        <v>171</v>
      </c>
      <c r="D6" s="10">
        <v>214.43786</v>
      </c>
      <c r="E6" s="9">
        <f t="shared" ref="E6:E11" si="2">SUM(D6/C6*100)</f>
        <v>125.40225730994152</v>
      </c>
      <c r="F6" s="9">
        <f t="shared" si="1"/>
        <v>43.437860000000001</v>
      </c>
    </row>
    <row r="7" spans="1:6" ht="31.5">
      <c r="A7" s="3">
        <v>1030000000</v>
      </c>
      <c r="B7" s="13" t="s">
        <v>259</v>
      </c>
      <c r="C7" s="5">
        <f>C8+C10+C9</f>
        <v>616.13</v>
      </c>
      <c r="D7" s="247">
        <f>D8+D10+D9+D11</f>
        <v>728.41717000000006</v>
      </c>
      <c r="E7" s="5">
        <f t="shared" si="2"/>
        <v>118.22459058964829</v>
      </c>
      <c r="F7" s="5">
        <f t="shared" si="1"/>
        <v>112.28717000000006</v>
      </c>
    </row>
    <row r="8" spans="1:6">
      <c r="A8" s="7">
        <v>1030223001</v>
      </c>
      <c r="B8" s="8" t="s">
        <v>261</v>
      </c>
      <c r="C8" s="9">
        <v>229.816</v>
      </c>
      <c r="D8" s="10">
        <v>365.16064</v>
      </c>
      <c r="E8" s="9">
        <f t="shared" si="2"/>
        <v>158.89260973996588</v>
      </c>
      <c r="F8" s="9">
        <f t="shared" si="1"/>
        <v>135.34464</v>
      </c>
    </row>
    <row r="9" spans="1:6">
      <c r="A9" s="7">
        <v>1030224001</v>
      </c>
      <c r="B9" s="8" t="s">
        <v>267</v>
      </c>
      <c r="C9" s="9">
        <v>2.4649999999999999</v>
      </c>
      <c r="D9" s="10">
        <v>1.97244</v>
      </c>
      <c r="E9" s="9">
        <f t="shared" si="2"/>
        <v>80.017849898580124</v>
      </c>
      <c r="F9" s="9">
        <f t="shared" si="1"/>
        <v>-0.49255999999999989</v>
      </c>
    </row>
    <row r="10" spans="1:6">
      <c r="A10" s="7">
        <v>1030225001</v>
      </c>
      <c r="B10" s="8" t="s">
        <v>260</v>
      </c>
      <c r="C10" s="9">
        <v>383.84899999999999</v>
      </c>
      <c r="D10" s="10">
        <v>403.17858999999999</v>
      </c>
      <c r="E10" s="9">
        <f t="shared" si="2"/>
        <v>105.03572759079742</v>
      </c>
      <c r="F10" s="9">
        <f t="shared" si="1"/>
        <v>19.329589999999996</v>
      </c>
    </row>
    <row r="11" spans="1:6">
      <c r="A11" s="7">
        <v>1030226001</v>
      </c>
      <c r="B11" s="8" t="s">
        <v>269</v>
      </c>
      <c r="C11" s="9">
        <v>0</v>
      </c>
      <c r="D11" s="10">
        <v>-41.894500000000001</v>
      </c>
      <c r="E11" s="9" t="e">
        <f t="shared" si="2"/>
        <v>#DIV/0!</v>
      </c>
      <c r="F11" s="9">
        <f t="shared" si="1"/>
        <v>-41.894500000000001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469</v>
      </c>
      <c r="D14" s="5">
        <f>D15+D16</f>
        <v>501.27107000000001</v>
      </c>
      <c r="E14" s="5">
        <f t="shared" si="0"/>
        <v>106.88082515991471</v>
      </c>
      <c r="F14" s="5">
        <f t="shared" si="1"/>
        <v>32.271070000000009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132.71872999999999</v>
      </c>
      <c r="E15" s="9">
        <f t="shared" si="0"/>
        <v>107.03123387096774</v>
      </c>
      <c r="F15" s="9">
        <f>SUM(D15-C15)</f>
        <v>8.7187299999999937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368.55234000000002</v>
      </c>
      <c r="E16" s="9">
        <f t="shared" si="0"/>
        <v>106.82676521739131</v>
      </c>
      <c r="F16" s="9">
        <f t="shared" si="1"/>
        <v>23.552340000000015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8.25</v>
      </c>
      <c r="E17" s="5">
        <f t="shared" si="0"/>
        <v>103.125</v>
      </c>
      <c r="F17" s="5">
        <f t="shared" si="1"/>
        <v>0.25</v>
      </c>
    </row>
    <row r="18" spans="1:6" ht="17.25" customHeight="1">
      <c r="A18" s="7">
        <v>1080400001</v>
      </c>
      <c r="B18" s="8" t="s">
        <v>253</v>
      </c>
      <c r="C18" s="9">
        <v>8</v>
      </c>
      <c r="D18" s="10">
        <v>8.25</v>
      </c>
      <c r="E18" s="9">
        <f t="shared" si="0"/>
        <v>103.125</v>
      </c>
      <c r="F18" s="9">
        <f t="shared" si="1"/>
        <v>0.25</v>
      </c>
    </row>
    <row r="19" spans="1:6" ht="49.5" hidden="1" customHeight="1">
      <c r="A19" s="7">
        <v>1080714001</v>
      </c>
      <c r="B19" s="8" t="s">
        <v>218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543.60199999999998</v>
      </c>
      <c r="D25" s="5">
        <f>D26+D29+D31+D36+D34</f>
        <v>813.13242000000002</v>
      </c>
      <c r="E25" s="5">
        <f t="shared" si="0"/>
        <v>149.58230838002805</v>
      </c>
      <c r="F25" s="5">
        <f t="shared" si="1"/>
        <v>269.53042000000005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40</v>
      </c>
      <c r="D26" s="5">
        <f>D27+D28</f>
        <v>66.5</v>
      </c>
      <c r="E26" s="5">
        <f t="shared" si="0"/>
        <v>166.25</v>
      </c>
      <c r="F26" s="5">
        <f t="shared" si="1"/>
        <v>26.5</v>
      </c>
    </row>
    <row r="27" spans="1:6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216</v>
      </c>
      <c r="C28" s="12">
        <v>40</v>
      </c>
      <c r="D28" s="10">
        <v>66.5</v>
      </c>
      <c r="E28" s="9">
        <f t="shared" si="0"/>
        <v>166.25</v>
      </c>
      <c r="F28" s="9">
        <f t="shared" si="1"/>
        <v>26.5</v>
      </c>
    </row>
    <row r="29" spans="1:6" s="15" customFormat="1" ht="27.75" customHeight="1">
      <c r="A29" s="68">
        <v>1130000000</v>
      </c>
      <c r="B29" s="69" t="s">
        <v>124</v>
      </c>
      <c r="C29" s="5">
        <f>C30</f>
        <v>100</v>
      </c>
      <c r="D29" s="5">
        <f>SUM(D30)</f>
        <v>358.87428999999997</v>
      </c>
      <c r="E29" s="5">
        <f t="shared" si="0"/>
        <v>358.87428999999997</v>
      </c>
      <c r="F29" s="5">
        <f t="shared" si="1"/>
        <v>258.87428999999997</v>
      </c>
    </row>
    <row r="30" spans="1:6" ht="27.75" customHeight="1">
      <c r="A30" s="7">
        <v>1130206005</v>
      </c>
      <c r="B30" s="8" t="s">
        <v>14</v>
      </c>
      <c r="C30" s="9">
        <v>100</v>
      </c>
      <c r="D30" s="10">
        <v>358.87428999999997</v>
      </c>
      <c r="E30" s="9">
        <f t="shared" si="0"/>
        <v>358.87428999999997</v>
      </c>
      <c r="F30" s="9">
        <f t="shared" si="1"/>
        <v>258.87428999999997</v>
      </c>
    </row>
    <row r="31" spans="1:6" ht="18" customHeight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9.25" customHeight="1">
      <c r="A32" s="16">
        <v>1140200000</v>
      </c>
      <c r="B32" s="18" t="s">
        <v>126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33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3" customHeight="1">
      <c r="A34" s="408">
        <v>1160000000</v>
      </c>
      <c r="B34" s="409" t="s">
        <v>236</v>
      </c>
      <c r="C34" s="5">
        <v>0</v>
      </c>
      <c r="D34" s="14">
        <f>SUM(D35)</f>
        <v>5.9382900000000003</v>
      </c>
      <c r="E34" s="9" t="e">
        <f>SUM(D34/C34*100)</f>
        <v>#DIV/0!</v>
      </c>
      <c r="F34" s="9">
        <f>SUM(D34-C34)</f>
        <v>5.9382900000000003</v>
      </c>
    </row>
    <row r="35" spans="1:7" ht="33" customHeight="1">
      <c r="A35" s="7">
        <v>1160701000</v>
      </c>
      <c r="B35" s="8" t="s">
        <v>403</v>
      </c>
      <c r="C35" s="9"/>
      <c r="D35" s="10">
        <v>5.9382900000000003</v>
      </c>
      <c r="E35" s="9"/>
      <c r="F35" s="9"/>
    </row>
    <row r="36" spans="1:7" ht="15" customHeight="1">
      <c r="A36" s="3">
        <v>1170000000</v>
      </c>
      <c r="B36" s="13" t="s">
        <v>128</v>
      </c>
      <c r="C36" s="5">
        <f>C37+C38</f>
        <v>403.60199999999998</v>
      </c>
      <c r="D36" s="5">
        <f>D37+D38</f>
        <v>381.81984</v>
      </c>
      <c r="E36" s="5">
        <f t="shared" si="0"/>
        <v>94.603059449655859</v>
      </c>
      <c r="F36" s="5">
        <f t="shared" si="1"/>
        <v>-21.782159999999976</v>
      </c>
    </row>
    <row r="37" spans="1:7" ht="19.5" customHeight="1">
      <c r="A37" s="7">
        <v>1170105010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.75" customHeight="1">
      <c r="A38" s="7">
        <v>1171503010</v>
      </c>
      <c r="B38" s="11" t="s">
        <v>406</v>
      </c>
      <c r="C38" s="9">
        <v>403.60199999999998</v>
      </c>
      <c r="D38" s="10">
        <v>381.81984</v>
      </c>
      <c r="E38" s="9">
        <f t="shared" si="0"/>
        <v>94.603059449655859</v>
      </c>
      <c r="F38" s="9">
        <f t="shared" si="1"/>
        <v>-21.782159999999976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1817.732</v>
      </c>
      <c r="D39" s="125">
        <f>D4+D25</f>
        <v>2265.5085199999999</v>
      </c>
      <c r="E39" s="5">
        <f t="shared" si="0"/>
        <v>124.6338030028629</v>
      </c>
      <c r="F39" s="5">
        <f t="shared" si="1"/>
        <v>447.77651999999989</v>
      </c>
    </row>
    <row r="40" spans="1:7" s="6" customFormat="1">
      <c r="A40" s="3">
        <v>2000000000</v>
      </c>
      <c r="B40" s="4" t="s">
        <v>17</v>
      </c>
      <c r="C40" s="224">
        <f>C41+C42+C43+C44+C51+C52</f>
        <v>11802.837669999999</v>
      </c>
      <c r="D40" s="5">
        <f>D41+D42+D43+D44+D51+D52</f>
        <v>11703.23337</v>
      </c>
      <c r="E40" s="5">
        <f t="shared" si="0"/>
        <v>99.15609870452451</v>
      </c>
      <c r="F40" s="5">
        <f t="shared" si="1"/>
        <v>-99.604299999999057</v>
      </c>
      <c r="G40" s="19"/>
    </row>
    <row r="41" spans="1:7" ht="16.5" customHeight="1">
      <c r="A41" s="16">
        <v>2021000000</v>
      </c>
      <c r="B41" s="17" t="s">
        <v>18</v>
      </c>
      <c r="C41" s="12">
        <v>4903.5</v>
      </c>
      <c r="D41" s="20">
        <v>4903.5</v>
      </c>
      <c r="E41" s="9">
        <v>0</v>
      </c>
      <c r="F41" s="9">
        <f t="shared" si="1"/>
        <v>0</v>
      </c>
    </row>
    <row r="42" spans="1:7" ht="17.25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19</v>
      </c>
      <c r="C43" s="12">
        <v>5918.9191000000001</v>
      </c>
      <c r="D43" s="10">
        <v>5918.9191000000001</v>
      </c>
      <c r="E43" s="9">
        <f t="shared" si="0"/>
        <v>100</v>
      </c>
      <c r="F43" s="9">
        <f t="shared" si="1"/>
        <v>0</v>
      </c>
    </row>
    <row r="44" spans="1:7" ht="17.25" customHeight="1">
      <c r="A44" s="16">
        <v>2023000000</v>
      </c>
      <c r="B44" s="17" t="s">
        <v>20</v>
      </c>
      <c r="C44" s="12">
        <v>301.49356999999998</v>
      </c>
      <c r="D44" s="180">
        <v>301.49356999999998</v>
      </c>
      <c r="E44" s="9">
        <f t="shared" si="0"/>
        <v>100</v>
      </c>
      <c r="F44" s="9">
        <f t="shared" si="1"/>
        <v>0</v>
      </c>
    </row>
    <row r="45" spans="1:7" ht="18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4.2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16.5" hidden="1" customHeight="1">
      <c r="A47" s="122">
        <v>2180000000</v>
      </c>
      <c r="B47" s="123" t="s">
        <v>280</v>
      </c>
      <c r="C47" s="184">
        <f>C48</f>
        <v>0</v>
      </c>
      <c r="D47" s="233">
        <f>D48</f>
        <v>0</v>
      </c>
      <c r="E47" s="9" t="e">
        <f t="shared" si="0"/>
        <v>#DIV/0!</v>
      </c>
      <c r="F47" s="9">
        <f t="shared" si="1"/>
        <v>0</v>
      </c>
    </row>
    <row r="48" spans="1:7" ht="18" hidden="1" customHeight="1">
      <c r="A48" s="16">
        <v>2180501010</v>
      </c>
      <c r="B48" s="18" t="s">
        <v>279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9.5" hidden="1" customHeight="1">
      <c r="A49" s="7">
        <v>2190500005</v>
      </c>
      <c r="B49" s="11" t="s">
        <v>23</v>
      </c>
      <c r="C49" s="14"/>
      <c r="D49" s="14"/>
      <c r="E49" s="9" t="e">
        <f t="shared" si="0"/>
        <v>#DIV/0!</v>
      </c>
      <c r="F49" s="9">
        <f t="shared" si="1"/>
        <v>0</v>
      </c>
    </row>
    <row r="50" spans="1:8" s="6" customFormat="1" ht="35.25" hidden="1" customHeight="1">
      <c r="A50" s="3">
        <v>3000000000</v>
      </c>
      <c r="B50" s="13" t="s">
        <v>24</v>
      </c>
      <c r="C50" s="120">
        <v>0</v>
      </c>
      <c r="D50" s="14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7">
        <v>2020400000</v>
      </c>
      <c r="B51" s="8" t="s">
        <v>21</v>
      </c>
      <c r="C51" s="12">
        <v>678.92499999999995</v>
      </c>
      <c r="D51" s="10">
        <v>579.32069999999999</v>
      </c>
      <c r="E51" s="9">
        <f t="shared" si="0"/>
        <v>85.329115881724789</v>
      </c>
      <c r="F51" s="9">
        <f t="shared" si="1"/>
        <v>-99.604299999999967</v>
      </c>
    </row>
    <row r="52" spans="1:8" s="6" customFormat="1" ht="15" customHeight="1">
      <c r="A52" s="7">
        <v>2070500010</v>
      </c>
      <c r="B52" s="11" t="s">
        <v>281</v>
      </c>
      <c r="C52" s="12"/>
      <c r="D52" s="10"/>
      <c r="E52" s="9">
        <v>0</v>
      </c>
      <c r="F52" s="9">
        <f>SUM(D52-C52)</f>
        <v>0</v>
      </c>
    </row>
    <row r="53" spans="1:8" s="6" customFormat="1" ht="18" customHeight="1">
      <c r="A53" s="3"/>
      <c r="B53" s="4" t="s">
        <v>25</v>
      </c>
      <c r="C53" s="240">
        <f>C39+C40</f>
        <v>13620.569669999999</v>
      </c>
      <c r="D53" s="240">
        <f>D39+D40</f>
        <v>13968.741889999999</v>
      </c>
      <c r="E53" s="5">
        <f t="shared" si="0"/>
        <v>102.55622362673176</v>
      </c>
      <c r="F53" s="5">
        <f t="shared" si="1"/>
        <v>348.17222000000038</v>
      </c>
      <c r="G53" s="93"/>
      <c r="H53" s="193"/>
    </row>
    <row r="54" spans="1:8" s="6" customFormat="1">
      <c r="A54" s="3"/>
      <c r="B54" s="21" t="s">
        <v>299</v>
      </c>
      <c r="C54" s="92">
        <f>C53-C100</f>
        <v>-1002.1408400000018</v>
      </c>
      <c r="D54" s="92">
        <f>D53-D100</f>
        <v>-291.41324000000168</v>
      </c>
      <c r="E54" s="22"/>
      <c r="F54" s="22"/>
    </row>
    <row r="55" spans="1:8">
      <c r="A55" s="23"/>
      <c r="B55" s="24"/>
      <c r="C55" s="113"/>
      <c r="D55" s="25"/>
      <c r="E55" s="26"/>
      <c r="F55" s="27"/>
    </row>
    <row r="56" spans="1:8" ht="63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5" customHeight="1">
      <c r="A58" s="30" t="s">
        <v>27</v>
      </c>
      <c r="B58" s="31" t="s">
        <v>28</v>
      </c>
      <c r="C58" s="32">
        <f>C59+C60+C61+C62+C63+C65+C64</f>
        <v>1694.3889999999999</v>
      </c>
      <c r="D58" s="33">
        <f>D59+D60+D61+D62+D63+D65+D64</f>
        <v>1551.4588799999999</v>
      </c>
      <c r="E58" s="34">
        <f>SUM(D58/C58*100)</f>
        <v>91.564503782779511</v>
      </c>
      <c r="F58" s="34">
        <f>SUM(D58-C58)</f>
        <v>-142.93011999999999</v>
      </c>
    </row>
    <row r="59" spans="1:8" s="6" customFormat="1" ht="16.5" hidden="1" customHeight="1">
      <c r="A59" s="35" t="s">
        <v>29</v>
      </c>
      <c r="B59" s="36" t="s">
        <v>30</v>
      </c>
      <c r="C59" s="37"/>
      <c r="D59" s="37"/>
      <c r="E59" s="38"/>
      <c r="F59" s="38"/>
    </row>
    <row r="60" spans="1:8" ht="15" customHeight="1">
      <c r="A60" s="35" t="s">
        <v>31</v>
      </c>
      <c r="B60" s="39" t="s">
        <v>32</v>
      </c>
      <c r="C60" s="37">
        <v>1682.5119999999999</v>
      </c>
      <c r="D60" s="37">
        <v>1546.2948799999999</v>
      </c>
      <c r="E60" s="38">
        <f t="shared" ref="E60:E100" si="3">SUM(D60/C60*100)</f>
        <v>91.903943627147981</v>
      </c>
      <c r="F60" s="38">
        <f t="shared" ref="F60:F100" si="4">SUM(D60-C60)</f>
        <v>-136.21712000000002</v>
      </c>
    </row>
    <row r="61" spans="1:8" ht="15.75" hidden="1" customHeight="1">
      <c r="A61" s="35" t="s">
        <v>33</v>
      </c>
      <c r="B61" s="39" t="s">
        <v>34</v>
      </c>
      <c r="C61" s="37"/>
      <c r="D61" s="37"/>
      <c r="E61" s="38"/>
      <c r="F61" s="38">
        <f t="shared" si="4"/>
        <v>0</v>
      </c>
    </row>
    <row r="62" spans="1:8" ht="18" hidden="1" customHeight="1">
      <c r="A62" s="35" t="s">
        <v>35</v>
      </c>
      <c r="B62" s="39" t="s">
        <v>36</v>
      </c>
      <c r="C62" s="37"/>
      <c r="D62" s="37"/>
      <c r="E62" s="38" t="e">
        <f t="shared" si="3"/>
        <v>#DIV/0!</v>
      </c>
      <c r="F62" s="38">
        <f t="shared" si="4"/>
        <v>0</v>
      </c>
    </row>
    <row r="63" spans="1:8" ht="17.25" customHeight="1">
      <c r="A63" s="35" t="s">
        <v>37</v>
      </c>
      <c r="B63" s="39" t="s">
        <v>38</v>
      </c>
      <c r="C63" s="37"/>
      <c r="D63" s="37">
        <v>0</v>
      </c>
      <c r="E63" s="38" t="e">
        <f t="shared" si="3"/>
        <v>#DIV/0!</v>
      </c>
      <c r="F63" s="38">
        <f t="shared" si="4"/>
        <v>0</v>
      </c>
    </row>
    <row r="64" spans="1:8" ht="16.5" customHeight="1">
      <c r="A64" s="35" t="s">
        <v>39</v>
      </c>
      <c r="B64" s="39" t="s">
        <v>40</v>
      </c>
      <c r="C64" s="40">
        <v>5</v>
      </c>
      <c r="D64" s="40">
        <v>0</v>
      </c>
      <c r="E64" s="38">
        <f t="shared" si="3"/>
        <v>0</v>
      </c>
      <c r="F64" s="38">
        <f t="shared" si="4"/>
        <v>-5</v>
      </c>
    </row>
    <row r="65" spans="1:7" ht="18" customHeight="1">
      <c r="A65" s="35" t="s">
        <v>41</v>
      </c>
      <c r="B65" s="39" t="s">
        <v>42</v>
      </c>
      <c r="C65" s="37">
        <v>6.8769999999999998</v>
      </c>
      <c r="D65" s="37">
        <v>5.1639999999999997</v>
      </c>
      <c r="E65" s="38">
        <f t="shared" si="3"/>
        <v>75.090882652319323</v>
      </c>
      <c r="F65" s="38">
        <f t="shared" si="4"/>
        <v>-1.7130000000000001</v>
      </c>
    </row>
    <row r="66" spans="1:7" s="6" customFormat="1" ht="15" customHeight="1">
      <c r="A66" s="41" t="s">
        <v>43</v>
      </c>
      <c r="B66" s="42" t="s">
        <v>44</v>
      </c>
      <c r="C66" s="32">
        <f>C67</f>
        <v>287.20096999999998</v>
      </c>
      <c r="D66" s="32">
        <f>D67</f>
        <v>287.20096999999998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37">
        <v>287.20096999999998</v>
      </c>
      <c r="D67" s="37">
        <v>287.20096999999998</v>
      </c>
      <c r="E67" s="38">
        <f t="shared" si="3"/>
        <v>100</v>
      </c>
      <c r="F67" s="38">
        <f t="shared" si="4"/>
        <v>0</v>
      </c>
    </row>
    <row r="68" spans="1:7" s="6" customFormat="1" ht="16.5" customHeight="1">
      <c r="A68" s="30" t="s">
        <v>47</v>
      </c>
      <c r="B68" s="31" t="s">
        <v>48</v>
      </c>
      <c r="C68" s="32">
        <f>C71+C72+C73</f>
        <v>329.38</v>
      </c>
      <c r="D68" s="32">
        <f>SUM(D71+D72+D73)</f>
        <v>329.18939</v>
      </c>
      <c r="E68" s="34">
        <f t="shared" si="3"/>
        <v>99.94213066974315</v>
      </c>
      <c r="F68" s="34">
        <f t="shared" si="4"/>
        <v>-0.1906099999999924</v>
      </c>
    </row>
    <row r="69" spans="1:7" hidden="1">
      <c r="A69" s="35" t="s">
        <v>49</v>
      </c>
      <c r="B69" s="39" t="s">
        <v>50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idden="1">
      <c r="A70" s="45" t="s">
        <v>51</v>
      </c>
      <c r="B70" s="39" t="s">
        <v>52</v>
      </c>
      <c r="C70" s="37"/>
      <c r="D70" s="37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5">
        <v>3</v>
      </c>
      <c r="D71" s="37">
        <v>2.83134</v>
      </c>
      <c r="E71" s="34">
        <f t="shared" si="3"/>
        <v>94.378</v>
      </c>
      <c r="F71" s="34">
        <f t="shared" si="4"/>
        <v>-0.16866000000000003</v>
      </c>
    </row>
    <row r="72" spans="1:7" ht="15.75" customHeight="1">
      <c r="A72" s="46" t="s">
        <v>210</v>
      </c>
      <c r="B72" s="47" t="s">
        <v>211</v>
      </c>
      <c r="C72" s="37">
        <v>324.38</v>
      </c>
      <c r="D72" s="37">
        <v>324.35804999999999</v>
      </c>
      <c r="E72" s="34">
        <f t="shared" si="3"/>
        <v>99.993233244959612</v>
      </c>
      <c r="F72" s="34">
        <f t="shared" si="4"/>
        <v>-2.1950000000003911E-2</v>
      </c>
    </row>
    <row r="73" spans="1:7" ht="15.75" customHeight="1">
      <c r="A73" s="46" t="s">
        <v>330</v>
      </c>
      <c r="B73" s="47" t="s">
        <v>333</v>
      </c>
      <c r="C73" s="37">
        <v>2</v>
      </c>
      <c r="D73" s="37">
        <v>2</v>
      </c>
      <c r="E73" s="34"/>
      <c r="F73" s="34"/>
    </row>
    <row r="74" spans="1:7" s="6" customFormat="1" ht="14.25" customHeight="1">
      <c r="A74" s="30" t="s">
        <v>55</v>
      </c>
      <c r="B74" s="31" t="s">
        <v>56</v>
      </c>
      <c r="C74" s="48">
        <f>SUM(C75:C78)</f>
        <v>3091.5144400000004</v>
      </c>
      <c r="D74" s="48">
        <f>SUM(D75:D78)</f>
        <v>3030.0402100000001</v>
      </c>
      <c r="E74" s="34">
        <f t="shared" si="3"/>
        <v>98.011517293770098</v>
      </c>
      <c r="F74" s="34">
        <f t="shared" si="4"/>
        <v>-61.474230000000261</v>
      </c>
    </row>
    <row r="75" spans="1:7" ht="15" customHeight="1">
      <c r="A75" s="35" t="s">
        <v>57</v>
      </c>
      <c r="B75" s="39" t="s">
        <v>58</v>
      </c>
      <c r="C75" s="49">
        <v>14.2926</v>
      </c>
      <c r="D75" s="37">
        <v>14.2926</v>
      </c>
      <c r="E75" s="38">
        <f t="shared" si="3"/>
        <v>100</v>
      </c>
      <c r="F75" s="38">
        <f t="shared" si="4"/>
        <v>0</v>
      </c>
    </row>
    <row r="76" spans="1:7" s="6" customFormat="1" ht="15" customHeight="1">
      <c r="A76" s="35" t="s">
        <v>59</v>
      </c>
      <c r="B76" s="39" t="s">
        <v>60</v>
      </c>
      <c r="C76" s="49"/>
      <c r="D76" s="37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49">
        <v>3061.2218400000002</v>
      </c>
      <c r="D77" s="37">
        <v>2999.7476099999999</v>
      </c>
      <c r="E77" s="38">
        <f t="shared" si="3"/>
        <v>97.991840081736768</v>
      </c>
      <c r="F77" s="38">
        <f t="shared" si="4"/>
        <v>-61.474230000000261</v>
      </c>
    </row>
    <row r="78" spans="1:7">
      <c r="A78" s="35" t="s">
        <v>63</v>
      </c>
      <c r="B78" s="39" t="s">
        <v>64</v>
      </c>
      <c r="C78" s="49">
        <v>16</v>
      </c>
      <c r="D78" s="37">
        <v>16</v>
      </c>
      <c r="E78" s="38">
        <f t="shared" si="3"/>
        <v>100</v>
      </c>
      <c r="F78" s="38">
        <f t="shared" si="4"/>
        <v>0</v>
      </c>
    </row>
    <row r="79" spans="1:7" s="6" customFormat="1" ht="14.25" customHeight="1">
      <c r="A79" s="30" t="s">
        <v>65</v>
      </c>
      <c r="B79" s="31" t="s">
        <v>66</v>
      </c>
      <c r="C79" s="32">
        <f>SUM(C80:C82)</f>
        <v>7367.5261</v>
      </c>
      <c r="D79" s="32">
        <f>SUM(D80:D82)</f>
        <v>7209.9037900000003</v>
      </c>
      <c r="E79" s="34">
        <f t="shared" si="3"/>
        <v>97.86058022923055</v>
      </c>
      <c r="F79" s="34">
        <f t="shared" si="4"/>
        <v>-157.62230999999974</v>
      </c>
    </row>
    <row r="80" spans="1:7" ht="14.25" customHeight="1">
      <c r="A80" s="35" t="s">
        <v>67</v>
      </c>
      <c r="B80" s="51" t="s">
        <v>68</v>
      </c>
      <c r="C80" s="37">
        <v>0</v>
      </c>
      <c r="D80" s="37"/>
      <c r="E80" s="38" t="e">
        <f t="shared" si="3"/>
        <v>#DIV/0!</v>
      </c>
      <c r="F80" s="38">
        <f t="shared" si="4"/>
        <v>0</v>
      </c>
    </row>
    <row r="81" spans="1:6" ht="24.75" customHeight="1">
      <c r="A81" s="35" t="s">
        <v>69</v>
      </c>
      <c r="B81" s="51" t="s">
        <v>70</v>
      </c>
      <c r="C81" s="37">
        <v>1424.021</v>
      </c>
      <c r="D81" s="37">
        <v>1346.3013800000001</v>
      </c>
      <c r="E81" s="38">
        <f t="shared" si="3"/>
        <v>94.542242003453609</v>
      </c>
      <c r="F81" s="38">
        <f t="shared" si="4"/>
        <v>-77.71961999999985</v>
      </c>
    </row>
    <row r="82" spans="1:6">
      <c r="A82" s="35" t="s">
        <v>71</v>
      </c>
      <c r="B82" s="39" t="s">
        <v>72</v>
      </c>
      <c r="C82" s="37">
        <v>5943.5051000000003</v>
      </c>
      <c r="D82" s="37">
        <v>5863.6024100000004</v>
      </c>
      <c r="E82" s="38">
        <f t="shared" si="3"/>
        <v>98.655630160054884</v>
      </c>
      <c r="F82" s="38">
        <f t="shared" si="4"/>
        <v>-79.902689999999893</v>
      </c>
    </row>
    <row r="83" spans="1:6" s="6" customFormat="1">
      <c r="A83" s="30" t="s">
        <v>81</v>
      </c>
      <c r="B83" s="31" t="s">
        <v>82</v>
      </c>
      <c r="C83" s="32">
        <f>C84</f>
        <v>1842.7</v>
      </c>
      <c r="D83" s="32">
        <f>SUM(D84)</f>
        <v>1842.3718899999999</v>
      </c>
      <c r="E83" s="34">
        <f t="shared" si="3"/>
        <v>99.982194063059637</v>
      </c>
      <c r="F83" s="34">
        <f t="shared" si="4"/>
        <v>-0.32811000000015156</v>
      </c>
    </row>
    <row r="84" spans="1:6" ht="15" customHeight="1">
      <c r="A84" s="35" t="s">
        <v>83</v>
      </c>
      <c r="B84" s="39" t="s">
        <v>225</v>
      </c>
      <c r="C84" s="37">
        <v>1842.7</v>
      </c>
      <c r="D84" s="37">
        <v>1842.3718899999999</v>
      </c>
      <c r="E84" s="38">
        <f t="shared" si="3"/>
        <v>99.982194063059637</v>
      </c>
      <c r="F84" s="38">
        <f t="shared" si="4"/>
        <v>-0.32811000000015156</v>
      </c>
    </row>
    <row r="85" spans="1:6" s="6" customFormat="1" ht="15.75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.75" hidden="1" customHeight="1">
      <c r="A86" s="53">
        <v>1001</v>
      </c>
      <c r="B86" s="54" t="s">
        <v>85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86</v>
      </c>
      <c r="C87" s="95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53">
        <v>1004</v>
      </c>
      <c r="B88" s="54" t="s">
        <v>87</v>
      </c>
      <c r="C88" s="37"/>
      <c r="D88" s="55"/>
      <c r="E88" s="38" t="e">
        <f t="shared" si="3"/>
        <v>#DIV/0!</v>
      </c>
      <c r="F88" s="38">
        <f t="shared" si="4"/>
        <v>0</v>
      </c>
    </row>
    <row r="89" spans="1:6" ht="15.75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</f>
        <v>10</v>
      </c>
      <c r="D90" s="32">
        <f>D91+D92+D93+D94+D95</f>
        <v>9.99</v>
      </c>
      <c r="E90" s="38"/>
      <c r="F90" s="22">
        <f>F91+F92+F93+F94+F95</f>
        <v>-9.9999999999997868E-3</v>
      </c>
    </row>
    <row r="91" spans="1:6" ht="16.5" customHeight="1">
      <c r="A91" s="35" t="s">
        <v>92</v>
      </c>
      <c r="B91" s="39" t="s">
        <v>93</v>
      </c>
      <c r="C91" s="37">
        <v>10</v>
      </c>
      <c r="D91" s="37">
        <v>9.99</v>
      </c>
      <c r="E91" s="38"/>
      <c r="F91" s="38">
        <f>SUM(D91-C91)</f>
        <v>-9.9999999999997868E-3</v>
      </c>
    </row>
    <row r="92" spans="1:6" ht="1.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21.7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4.2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19.5" hidden="1" customHeight="1">
      <c r="A96" s="52">
        <v>1400</v>
      </c>
      <c r="B96" s="56" t="s">
        <v>109</v>
      </c>
      <c r="C96" s="48">
        <f>C97+C98+C99</f>
        <v>0</v>
      </c>
      <c r="D96" s="172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6.5" hidden="1" customHeight="1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1403</v>
      </c>
      <c r="B99" s="54" t="s">
        <v>112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s="6" customFormat="1" ht="21" customHeight="1">
      <c r="A100" s="52"/>
      <c r="B100" s="57" t="s">
        <v>113</v>
      </c>
      <c r="C100" s="243">
        <f>C58+C66+C68+C74+C79+C83+C90+C85</f>
        <v>14622.710510000001</v>
      </c>
      <c r="D100" s="243">
        <f>D58+D66+D68+D74+D79+D83+D90+D85</f>
        <v>14260.155130000001</v>
      </c>
      <c r="E100" s="34">
        <f t="shared" si="3"/>
        <v>97.520600713854932</v>
      </c>
      <c r="F100" s="34">
        <f t="shared" si="4"/>
        <v>-362.55537999999979</v>
      </c>
    </row>
    <row r="101" spans="1:6">
      <c r="D101" s="175"/>
    </row>
    <row r="102" spans="1:6" s="65" customFormat="1" ht="18" customHeight="1">
      <c r="A102" s="63" t="s">
        <v>114</v>
      </c>
      <c r="B102" s="63"/>
      <c r="C102" s="129"/>
      <c r="D102" s="64"/>
      <c r="E102" s="64"/>
    </row>
    <row r="103" spans="1:6" s="65" customFormat="1" ht="12.75">
      <c r="A103" s="66" t="s">
        <v>115</v>
      </c>
      <c r="B103" s="66"/>
      <c r="C103" s="65" t="s">
        <v>116</v>
      </c>
    </row>
    <row r="104" spans="1:6">
      <c r="C104" s="118"/>
    </row>
    <row r="143" hidden="1"/>
  </sheetData>
  <customSheetViews>
    <customSheetView guid="{61528DAC-5C4C-48F4-ADE2-8A724B05A086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A486C6EE-08B2-475E-8DA1-C3C3163412A9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F1E84C44-1ACD-474A-BDE0-C7088DB6C590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3"/>
    </customSheetView>
    <customSheetView guid="{F85EE840-0C31-454A-8951-832C2E9E0600}" scale="70" showPageBreaks="1" hiddenRows="1" state="hidden" view="pageBreakPreview" topLeftCell="A34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4"/>
    </customSheetView>
    <customSheetView guid="{3DCB9AAA-F09C-4EA6-B992-F93E466D374A}" topLeftCell="A38">
      <selection activeCell="J56" sqref="J56"/>
      <pageMargins left="0.7" right="0.7" top="0.75" bottom="0.75" header="0.3" footer="0.3"/>
      <pageSetup paperSize="9" scale="52" orientation="portrait" r:id="rId5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1" orientation="portrait" r:id="rId6"/>
    </customSheetView>
    <customSheetView guid="{B30CE22D-C12F-4E12-8BB9-3AAE0A6991CC}" scale="70" showPageBreaks="1" printArea="1" hiddenRows="1" view="pageBreakPreview" topLeftCell="A54">
      <selection activeCell="A34" sqref="A34:XFD34"/>
      <pageMargins left="0.70866141732283472" right="0.70866141732283472" top="0.74803149606299213" bottom="0.74803149606299213" header="0.31496062992125984" footer="0.31496062992125984"/>
      <pageSetup paperSize="9" scale="56" orientation="portrait" r:id="rId7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8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9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10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5C539BE6-C8E0-453F-AB5E-9E58094195EA}" scale="70" showPageBreaks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60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4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3" zoomScale="70" zoomScaleNormal="100" zoomScaleSheetLayoutView="70" workbookViewId="0">
      <selection activeCell="D64" sqref="D6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627" t="s">
        <v>411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54.7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2738.4</v>
      </c>
      <c r="D4" s="5">
        <f>D5+D12+D14+D17+D7</f>
        <v>2786.3653899999999</v>
      </c>
      <c r="E4" s="5">
        <f>SUM(D4/C4*100)</f>
        <v>101.75158450189892</v>
      </c>
      <c r="F4" s="5">
        <f>SUM(D4-C4)</f>
        <v>47.965389999999843</v>
      </c>
    </row>
    <row r="5" spans="1:6" s="6" customFormat="1">
      <c r="A5" s="68">
        <v>1010000000</v>
      </c>
      <c r="B5" s="67" t="s">
        <v>5</v>
      </c>
      <c r="C5" s="5">
        <f>C6</f>
        <v>321.39999999999998</v>
      </c>
      <c r="D5" s="5">
        <f>D6</f>
        <v>265.78492</v>
      </c>
      <c r="E5" s="5">
        <f t="shared" ref="E5:E52" si="0">SUM(D5/C5*100)</f>
        <v>82.695992532669578</v>
      </c>
      <c r="F5" s="5">
        <f t="shared" ref="F5:F52" si="1">SUM(D5-C5)</f>
        <v>-55.615079999999978</v>
      </c>
    </row>
    <row r="6" spans="1:6">
      <c r="A6" s="7">
        <v>1010200001</v>
      </c>
      <c r="B6" s="8" t="s">
        <v>220</v>
      </c>
      <c r="C6" s="9">
        <v>321.39999999999998</v>
      </c>
      <c r="D6" s="10">
        <v>265.78492</v>
      </c>
      <c r="E6" s="9">
        <f t="shared" ref="E6:E11" si="2">SUM(D6/C6*100)</f>
        <v>82.695992532669578</v>
      </c>
      <c r="F6" s="9">
        <f t="shared" si="1"/>
        <v>-55.615079999999978</v>
      </c>
    </row>
    <row r="7" spans="1:6" ht="31.5">
      <c r="A7" s="3">
        <v>1030000000</v>
      </c>
      <c r="B7" s="13" t="s">
        <v>259</v>
      </c>
      <c r="C7" s="5">
        <f>C8+C10+C9</f>
        <v>954</v>
      </c>
      <c r="D7" s="5">
        <f>D8+D10+D9+D11</f>
        <v>1127.8717499999998</v>
      </c>
      <c r="E7" s="5">
        <f t="shared" si="2"/>
        <v>118.22555031446538</v>
      </c>
      <c r="F7" s="5">
        <f t="shared" si="1"/>
        <v>173.87174999999979</v>
      </c>
    </row>
    <row r="8" spans="1:6">
      <c r="A8" s="7">
        <v>1030223001</v>
      </c>
      <c r="B8" s="8" t="s">
        <v>261</v>
      </c>
      <c r="C8" s="9">
        <v>355.84199999999998</v>
      </c>
      <c r="D8" s="10">
        <v>565.41002000000003</v>
      </c>
      <c r="E8" s="9">
        <f t="shared" si="2"/>
        <v>158.8935595011269</v>
      </c>
      <c r="F8" s="9">
        <f t="shared" si="1"/>
        <v>209.56802000000005</v>
      </c>
    </row>
    <row r="9" spans="1:6">
      <c r="A9" s="7">
        <v>1030224001</v>
      </c>
      <c r="B9" s="8" t="s">
        <v>267</v>
      </c>
      <c r="C9" s="9">
        <v>3.8159999999999998</v>
      </c>
      <c r="D9" s="10">
        <v>3.0541200000000002</v>
      </c>
      <c r="E9" s="9">
        <f t="shared" si="2"/>
        <v>80.034591194968556</v>
      </c>
      <c r="F9" s="9">
        <f t="shared" si="1"/>
        <v>-0.76187999999999967</v>
      </c>
    </row>
    <row r="10" spans="1:6">
      <c r="A10" s="7">
        <v>1030225001</v>
      </c>
      <c r="B10" s="8" t="s">
        <v>260</v>
      </c>
      <c r="C10" s="9">
        <v>594.34199999999998</v>
      </c>
      <c r="D10" s="10">
        <v>624.27652999999998</v>
      </c>
      <c r="E10" s="9">
        <f t="shared" si="2"/>
        <v>105.0365833139842</v>
      </c>
      <c r="F10" s="9">
        <f>SUM(D10-C10)</f>
        <v>29.934529999999995</v>
      </c>
    </row>
    <row r="11" spans="1:6">
      <c r="A11" s="7">
        <v>1030226001</v>
      </c>
      <c r="B11" s="8" t="s">
        <v>269</v>
      </c>
      <c r="C11" s="9">
        <v>0</v>
      </c>
      <c r="D11" s="10">
        <v>-64.868920000000003</v>
      </c>
      <c r="E11" s="9" t="e">
        <f t="shared" si="2"/>
        <v>#DIV/0!</v>
      </c>
      <c r="F11" s="9">
        <f>SUM(D11-C11)</f>
        <v>-64.868920000000003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10.15326</v>
      </c>
      <c r="E12" s="5">
        <f t="shared" si="0"/>
        <v>50.766300000000001</v>
      </c>
      <c r="F12" s="5">
        <f t="shared" si="1"/>
        <v>-9.8467400000000005</v>
      </c>
    </row>
    <row r="13" spans="1:6" ht="15.75" customHeight="1">
      <c r="A13" s="7">
        <v>1050300000</v>
      </c>
      <c r="B13" s="11" t="s">
        <v>221</v>
      </c>
      <c r="C13" s="12">
        <v>20</v>
      </c>
      <c r="D13" s="10">
        <v>10.15326</v>
      </c>
      <c r="E13" s="9">
        <f t="shared" si="0"/>
        <v>50.766300000000001</v>
      </c>
      <c r="F13" s="9">
        <f t="shared" si="1"/>
        <v>-9.8467400000000005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1435</v>
      </c>
      <c r="D14" s="5">
        <f>D15+D16</f>
        <v>1379.57546</v>
      </c>
      <c r="E14" s="5">
        <f t="shared" si="0"/>
        <v>96.137662717770027</v>
      </c>
      <c r="F14" s="5">
        <f t="shared" si="1"/>
        <v>-55.424539999999979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315.43126999999998</v>
      </c>
      <c r="E15" s="9">
        <f t="shared" si="0"/>
        <v>81.930199999999999</v>
      </c>
      <c r="F15" s="9">
        <f>SUM(D15-C15)</f>
        <v>-69.568730000000016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1064.14419</v>
      </c>
      <c r="E16" s="9">
        <f t="shared" si="0"/>
        <v>101.3470657142857</v>
      </c>
      <c r="F16" s="9">
        <f t="shared" si="1"/>
        <v>14.144189999999981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2.98</v>
      </c>
      <c r="E17" s="5">
        <f t="shared" si="0"/>
        <v>37.25</v>
      </c>
      <c r="F17" s="5">
        <f t="shared" si="1"/>
        <v>-5.0199999999999996</v>
      </c>
    </row>
    <row r="18" spans="1:6" ht="18" customHeight="1">
      <c r="A18" s="7">
        <v>1080400001</v>
      </c>
      <c r="B18" s="8" t="s">
        <v>219</v>
      </c>
      <c r="C18" s="9">
        <v>8</v>
      </c>
      <c r="D18" s="10">
        <v>2.98</v>
      </c>
      <c r="E18" s="9">
        <f t="shared" si="0"/>
        <v>37.25</v>
      </c>
      <c r="F18" s="9">
        <f t="shared" si="1"/>
        <v>-5.0199999999999996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525.95636000000002</v>
      </c>
      <c r="D25" s="5">
        <f>D30+D37+D26+D35+D32</f>
        <v>1073.5195799999999</v>
      </c>
      <c r="E25" s="5">
        <f t="shared" si="0"/>
        <v>204.10810889329295</v>
      </c>
      <c r="F25" s="5">
        <f t="shared" si="1"/>
        <v>547.56321999999989</v>
      </c>
    </row>
    <row r="26" spans="1:6" s="6" customFormat="1" ht="33.75" customHeight="1">
      <c r="A26" s="68">
        <v>1110000000</v>
      </c>
      <c r="B26" s="69" t="s">
        <v>122</v>
      </c>
      <c r="C26" s="5">
        <f>C27+C28</f>
        <v>20</v>
      </c>
      <c r="D26" s="5">
        <f>D27+D28</f>
        <v>160.83423999999999</v>
      </c>
      <c r="E26" s="5">
        <f t="shared" si="0"/>
        <v>804.1712</v>
      </c>
      <c r="F26" s="5">
        <f t="shared" si="1"/>
        <v>140.83423999999999</v>
      </c>
    </row>
    <row r="27" spans="1:6" ht="15" customHeight="1">
      <c r="A27" s="16">
        <v>1110502510</v>
      </c>
      <c r="B27" s="17" t="s">
        <v>217</v>
      </c>
      <c r="C27" s="12">
        <v>20</v>
      </c>
      <c r="D27" s="10">
        <v>160.83423999999999</v>
      </c>
      <c r="E27" s="9">
        <f t="shared" si="0"/>
        <v>804.1712</v>
      </c>
      <c r="F27" s="9">
        <f t="shared" si="1"/>
        <v>140.83423999999999</v>
      </c>
    </row>
    <row r="28" spans="1:6" ht="15.75" hidden="1" customHeight="1">
      <c r="A28" s="7">
        <v>1110503510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332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124</v>
      </c>
      <c r="C30" s="5">
        <f>C31</f>
        <v>50</v>
      </c>
      <c r="D30" s="5">
        <f>D31</f>
        <v>80.687740000000005</v>
      </c>
      <c r="E30" s="5">
        <f t="shared" si="0"/>
        <v>161.37548000000001</v>
      </c>
      <c r="F30" s="5">
        <f t="shared" si="1"/>
        <v>30.687740000000005</v>
      </c>
    </row>
    <row r="31" spans="1:6" ht="34.5" customHeight="1">
      <c r="A31" s="7">
        <v>1130206510</v>
      </c>
      <c r="B31" s="8" t="s">
        <v>397</v>
      </c>
      <c r="C31" s="9">
        <v>50</v>
      </c>
      <c r="D31" s="10">
        <v>80.687740000000005</v>
      </c>
      <c r="E31" s="9">
        <f t="shared" si="0"/>
        <v>161.37548000000001</v>
      </c>
      <c r="F31" s="9">
        <f t="shared" si="1"/>
        <v>30.687740000000005</v>
      </c>
    </row>
    <row r="32" spans="1:6" ht="34.5" customHeight="1">
      <c r="A32" s="70">
        <v>1140000000</v>
      </c>
      <c r="B32" s="71" t="s">
        <v>125</v>
      </c>
      <c r="C32" s="5">
        <f>C33+C34</f>
        <v>137.274</v>
      </c>
      <c r="D32" s="5">
        <f>D33+D34</f>
        <v>12.273999999999999</v>
      </c>
      <c r="E32" s="5">
        <f t="shared" si="0"/>
        <v>8.9412416043824763</v>
      </c>
      <c r="F32" s="5">
        <f t="shared" si="1"/>
        <v>-125</v>
      </c>
    </row>
    <row r="33" spans="1:7" ht="19.5" customHeight="1">
      <c r="A33" s="16">
        <v>1140200000</v>
      </c>
      <c r="B33" s="18" t="s">
        <v>213</v>
      </c>
      <c r="C33" s="9">
        <v>12.273999999999999</v>
      </c>
      <c r="D33" s="10">
        <v>12.273999999999999</v>
      </c>
      <c r="E33" s="9">
        <f t="shared" si="0"/>
        <v>100</v>
      </c>
      <c r="F33" s="9">
        <f t="shared" si="1"/>
        <v>0</v>
      </c>
    </row>
    <row r="34" spans="1:7" ht="17.25" customHeight="1">
      <c r="A34" s="7">
        <v>1140600000</v>
      </c>
      <c r="B34" s="8" t="s">
        <v>214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236</v>
      </c>
      <c r="C35" s="5">
        <f>C36</f>
        <v>31.6</v>
      </c>
      <c r="D35" s="14">
        <f>D36</f>
        <v>31.630479999999999</v>
      </c>
      <c r="E35" s="5">
        <f>SUM(D35/C35*100)</f>
        <v>100.09645569620251</v>
      </c>
      <c r="F35" s="5">
        <f>SUM(D35-C35)</f>
        <v>3.0479999999997176E-2</v>
      </c>
    </row>
    <row r="36" spans="1:7" ht="33" customHeight="1">
      <c r="A36" s="7">
        <v>1160701010</v>
      </c>
      <c r="B36" s="8" t="s">
        <v>404</v>
      </c>
      <c r="C36" s="9">
        <v>31.6</v>
      </c>
      <c r="D36" s="10">
        <v>31.630479999999999</v>
      </c>
      <c r="E36" s="9">
        <f>SUM(D36/C36*100)</f>
        <v>100.09645569620251</v>
      </c>
      <c r="F36" s="9">
        <f>SUM(D36-C36)</f>
        <v>3.0479999999997176E-2</v>
      </c>
    </row>
    <row r="37" spans="1:7" ht="14.25" customHeight="1">
      <c r="A37" s="3">
        <v>1170000000</v>
      </c>
      <c r="B37" s="13" t="s">
        <v>128</v>
      </c>
      <c r="C37" s="5">
        <f>C38+C39</f>
        <v>287.08235999999999</v>
      </c>
      <c r="D37" s="5">
        <f>D38+D39</f>
        <v>788.09312</v>
      </c>
      <c r="E37" s="5">
        <f t="shared" si="0"/>
        <v>274.51812782924037</v>
      </c>
      <c r="F37" s="5">
        <f t="shared" si="1"/>
        <v>501.01076</v>
      </c>
    </row>
    <row r="38" spans="1:7" ht="18" customHeight="1">
      <c r="A38" s="7">
        <v>1170105010</v>
      </c>
      <c r="B38" s="8" t="s">
        <v>15</v>
      </c>
      <c r="C38" s="9">
        <v>0</v>
      </c>
      <c r="D38" s="9"/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406</v>
      </c>
      <c r="C39" s="9">
        <v>287.08235999999999</v>
      </c>
      <c r="D39" s="10">
        <v>788.09312</v>
      </c>
      <c r="E39" s="9">
        <f t="shared" si="0"/>
        <v>274.51812782924037</v>
      </c>
      <c r="F39" s="9">
        <f t="shared" si="1"/>
        <v>501.01076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3264.3563600000002</v>
      </c>
      <c r="D40" s="125">
        <f>D4+D25</f>
        <v>3859.8849700000001</v>
      </c>
      <c r="E40" s="5">
        <f t="shared" si="0"/>
        <v>118.24337003451424</v>
      </c>
      <c r="F40" s="5">
        <f t="shared" si="1"/>
        <v>595.52860999999984</v>
      </c>
    </row>
    <row r="41" spans="1:7" s="6" customFormat="1">
      <c r="A41" s="3">
        <v>2000000000</v>
      </c>
      <c r="B41" s="4" t="s">
        <v>17</v>
      </c>
      <c r="C41" s="5">
        <f>C42+C44+C45+C47+C51</f>
        <v>11897.033239999999</v>
      </c>
      <c r="D41" s="5">
        <f>D42+D44+D45+D47+D48+D49+D43+D51</f>
        <v>11854.222389999999</v>
      </c>
      <c r="E41" s="5">
        <f t="shared" si="0"/>
        <v>99.640155245964507</v>
      </c>
      <c r="F41" s="5">
        <f t="shared" si="1"/>
        <v>-42.810849999999846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3">
        <v>3431.9</v>
      </c>
      <c r="E42" s="9">
        <f t="shared" si="0"/>
        <v>100</v>
      </c>
      <c r="F42" s="9">
        <f t="shared" si="1"/>
        <v>0</v>
      </c>
    </row>
    <row r="43" spans="1:7" ht="15" customHeight="1">
      <c r="A43" s="16">
        <v>2021500200</v>
      </c>
      <c r="B43" s="17" t="s">
        <v>223</v>
      </c>
      <c r="C43" s="254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4194.3995699999996</v>
      </c>
      <c r="D44" s="10">
        <v>4194.3995699999996</v>
      </c>
      <c r="E44" s="9">
        <f t="shared" si="0"/>
        <v>100</v>
      </c>
      <c r="F44" s="9">
        <f t="shared" si="1"/>
        <v>0</v>
      </c>
    </row>
    <row r="45" spans="1:7" ht="15.75" customHeight="1">
      <c r="A45" s="16">
        <v>2023000000</v>
      </c>
      <c r="B45" s="17" t="s">
        <v>20</v>
      </c>
      <c r="C45" s="12">
        <v>269.82522</v>
      </c>
      <c r="D45" s="180">
        <v>269.82522</v>
      </c>
      <c r="E45" s="9">
        <f t="shared" si="0"/>
        <v>100</v>
      </c>
      <c r="F45" s="9">
        <f t="shared" si="1"/>
        <v>0</v>
      </c>
    </row>
    <row r="46" spans="1:7" ht="15.75" customHeight="1">
      <c r="A46" s="16">
        <v>2070503010</v>
      </c>
      <c r="B46" s="17" t="s">
        <v>252</v>
      </c>
      <c r="C46" s="12"/>
      <c r="D46" s="180"/>
      <c r="E46" s="9" t="e">
        <f t="shared" si="0"/>
        <v>#DIV/0!</v>
      </c>
      <c r="F46" s="9">
        <f t="shared" si="1"/>
        <v>0</v>
      </c>
    </row>
    <row r="47" spans="1:7" ht="13.5" customHeight="1">
      <c r="A47" s="16">
        <v>2024000000</v>
      </c>
      <c r="B47" s="17" t="s">
        <v>21</v>
      </c>
      <c r="C47" s="12">
        <v>4000.9084499999999</v>
      </c>
      <c r="D47" s="181">
        <v>3958.0976000000001</v>
      </c>
      <c r="E47" s="9">
        <f t="shared" si="0"/>
        <v>98.929971766787119</v>
      </c>
      <c r="F47" s="9">
        <f t="shared" si="1"/>
        <v>-42.810849999999846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t="14.25" customHeight="1">
      <c r="A51" s="7">
        <v>2070502010</v>
      </c>
      <c r="B51" s="8" t="s">
        <v>281</v>
      </c>
      <c r="C51" s="209"/>
      <c r="D51" s="210"/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0">
        <f>SUM(C40,C41,C50)</f>
        <v>15161.389599999999</v>
      </c>
      <c r="D52" s="241">
        <f>D40+D41</f>
        <v>15714.107359999998</v>
      </c>
      <c r="E52" s="5">
        <f t="shared" si="0"/>
        <v>103.64556135408591</v>
      </c>
      <c r="F52" s="5">
        <f t="shared" si="1"/>
        <v>552.71775999999954</v>
      </c>
      <c r="G52" s="93"/>
      <c r="H52" s="193"/>
    </row>
    <row r="53" spans="1:8" s="6" customFormat="1">
      <c r="A53" s="3"/>
      <c r="B53" s="21" t="s">
        <v>299</v>
      </c>
      <c r="C53" s="265">
        <f>C52-C99</f>
        <v>-942.68691000000035</v>
      </c>
      <c r="D53" s="265">
        <f>D52-D99</f>
        <v>-63.911940000001778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2315.0158499999998</v>
      </c>
      <c r="D57" s="33">
        <f>D58+D59+D60+D61+D62+D64+D63</f>
        <v>2301.27882</v>
      </c>
      <c r="E57" s="34">
        <f>SUM(D57/C57*100)</f>
        <v>99.406611838100375</v>
      </c>
      <c r="F57" s="34">
        <f>SUM(D57-C57)</f>
        <v>-13.737029999999777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1894.40372</v>
      </c>
      <c r="D59" s="37">
        <v>1886.66669</v>
      </c>
      <c r="E59" s="38">
        <f t="shared" ref="E59:E99" si="3">SUM(D59/C59*100)</f>
        <v>99.591584944733953</v>
      </c>
      <c r="F59" s="38">
        <f t="shared" ref="F59:F99" si="4">SUM(D59-C59)</f>
        <v>-7.7370300000000043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 t="shared" si="3"/>
        <v>0</v>
      </c>
      <c r="F63" s="38">
        <f t="shared" si="4"/>
        <v>-1</v>
      </c>
    </row>
    <row r="64" spans="1:8" ht="15" customHeight="1">
      <c r="A64" s="35" t="s">
        <v>41</v>
      </c>
      <c r="B64" s="39" t="s">
        <v>42</v>
      </c>
      <c r="C64" s="37">
        <v>419.61212999999998</v>
      </c>
      <c r="D64" s="37">
        <v>414.61212999999998</v>
      </c>
      <c r="E64" s="38">
        <f t="shared" si="3"/>
        <v>98.80842338852311</v>
      </c>
      <c r="F64" s="38">
        <f t="shared" si="4"/>
        <v>-5</v>
      </c>
    </row>
    <row r="65" spans="1:7" s="6" customFormat="1">
      <c r="A65" s="41" t="s">
        <v>43</v>
      </c>
      <c r="B65" s="42" t="s">
        <v>44</v>
      </c>
      <c r="C65" s="32">
        <f>C66</f>
        <v>269.82522</v>
      </c>
      <c r="D65" s="32">
        <f>D66</f>
        <v>269.82522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269.82522</v>
      </c>
      <c r="D66" s="37">
        <v>269.82522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20.097239999999999</v>
      </c>
      <c r="D67" s="32">
        <f>D71+D70+D72</f>
        <v>18.097239999999999</v>
      </c>
      <c r="E67" s="34">
        <f t="shared" si="3"/>
        <v>90.048384753329316</v>
      </c>
      <c r="F67" s="34">
        <f t="shared" si="4"/>
        <v>-2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2.83134</v>
      </c>
      <c r="D70" s="37">
        <v>2.83134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210</v>
      </c>
      <c r="B71" s="47" t="s">
        <v>211</v>
      </c>
      <c r="C71" s="37">
        <v>15.2659</v>
      </c>
      <c r="D71" s="37">
        <v>13.2659</v>
      </c>
      <c r="E71" s="34">
        <f t="shared" si="3"/>
        <v>86.898905403546465</v>
      </c>
      <c r="F71" s="34">
        <f t="shared" si="4"/>
        <v>-2</v>
      </c>
    </row>
    <row r="72" spans="1:7" ht="15.75" customHeight="1">
      <c r="A72" s="46" t="s">
        <v>330</v>
      </c>
      <c r="B72" s="47" t="s">
        <v>333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5626.7911999999997</v>
      </c>
      <c r="D73" s="48">
        <f>SUM(D74:D77)</f>
        <v>5597.89606</v>
      </c>
      <c r="E73" s="34">
        <f t="shared" si="3"/>
        <v>99.486472147749154</v>
      </c>
      <c r="F73" s="34">
        <f t="shared" si="4"/>
        <v>-28.895139999999628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5446.7911999999997</v>
      </c>
      <c r="D76" s="37">
        <v>5427.89606</v>
      </c>
      <c r="E76" s="38">
        <f t="shared" si="3"/>
        <v>99.653095936558032</v>
      </c>
      <c r="F76" s="38">
        <f t="shared" si="4"/>
        <v>-18.895139999999628</v>
      </c>
    </row>
    <row r="77" spans="1:7">
      <c r="A77" s="35" t="s">
        <v>63</v>
      </c>
      <c r="B77" s="39" t="s">
        <v>64</v>
      </c>
      <c r="C77" s="49">
        <v>180</v>
      </c>
      <c r="D77" s="37">
        <v>170</v>
      </c>
      <c r="E77" s="38">
        <f t="shared" si="3"/>
        <v>94.444444444444443</v>
      </c>
      <c r="F77" s="38">
        <f t="shared" si="4"/>
        <v>-10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5876.0360000000001</v>
      </c>
      <c r="D78" s="32">
        <f>SUM(D79:D81)</f>
        <v>5594.6333800000002</v>
      </c>
      <c r="E78" s="34">
        <f t="shared" si="3"/>
        <v>95.211012662277767</v>
      </c>
      <c r="F78" s="34">
        <f t="shared" si="4"/>
        <v>-281.40261999999984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20.25" customHeight="1">
      <c r="A80" s="35" t="s">
        <v>69</v>
      </c>
      <c r="B80" s="51" t="s">
        <v>70</v>
      </c>
      <c r="C80" s="37">
        <v>3455.25</v>
      </c>
      <c r="D80" s="37">
        <v>3203.5</v>
      </c>
      <c r="E80" s="38">
        <f t="shared" si="3"/>
        <v>92.71398596338905</v>
      </c>
      <c r="F80" s="38">
        <f t="shared" si="4"/>
        <v>-251.75</v>
      </c>
    </row>
    <row r="81" spans="1:6">
      <c r="A81" s="35" t="s">
        <v>71</v>
      </c>
      <c r="B81" s="39" t="s">
        <v>72</v>
      </c>
      <c r="C81" s="37">
        <v>2420.7860000000001</v>
      </c>
      <c r="D81" s="37">
        <v>2391.1333800000002</v>
      </c>
      <c r="E81" s="38">
        <f>SUM(D81/C81*100)</f>
        <v>98.775082968920017</v>
      </c>
      <c r="F81" s="38">
        <f t="shared" si="4"/>
        <v>-29.652619999999843</v>
      </c>
    </row>
    <row r="82" spans="1:6" s="6" customFormat="1">
      <c r="A82" s="30" t="s">
        <v>81</v>
      </c>
      <c r="B82" s="31" t="s">
        <v>82</v>
      </c>
      <c r="C82" s="32">
        <f>C83</f>
        <v>1974.3109999999999</v>
      </c>
      <c r="D82" s="32">
        <f>SUM(D83)</f>
        <v>1974.2885799999999</v>
      </c>
      <c r="E82" s="34">
        <f t="shared" si="3"/>
        <v>99.998864413965165</v>
      </c>
      <c r="F82" s="34">
        <f t="shared" si="4"/>
        <v>-2.2420000000010987E-2</v>
      </c>
    </row>
    <row r="83" spans="1:6" ht="18.75" customHeight="1">
      <c r="A83" s="35" t="s">
        <v>83</v>
      </c>
      <c r="B83" s="39" t="s">
        <v>225</v>
      </c>
      <c r="C83" s="37">
        <v>1974.3109999999999</v>
      </c>
      <c r="D83" s="37">
        <v>1974.2885799999999</v>
      </c>
      <c r="E83" s="38">
        <f t="shared" si="3"/>
        <v>99.998864413965165</v>
      </c>
      <c r="F83" s="38">
        <f t="shared" si="4"/>
        <v>-2.2420000000010987E-2</v>
      </c>
    </row>
    <row r="84" spans="1:6" s="6" customFormat="1" ht="0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88</v>
      </c>
      <c r="B88" s="39" t="s">
        <v>89</v>
      </c>
      <c r="C88" s="37"/>
      <c r="D88" s="37"/>
      <c r="E88" s="38"/>
      <c r="F88" s="38">
        <f t="shared" si="4"/>
        <v>0</v>
      </c>
    </row>
    <row r="89" spans="1:6">
      <c r="A89" s="30" t="s">
        <v>90</v>
      </c>
      <c r="B89" s="31" t="s">
        <v>91</v>
      </c>
      <c r="C89" s="32">
        <f>C90+C91+C92+C93+C94</f>
        <v>22</v>
      </c>
      <c r="D89" s="32">
        <f>D90+D91+D92+D93+D94</f>
        <v>22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92</v>
      </c>
      <c r="B90" s="39" t="s">
        <v>93</v>
      </c>
      <c r="C90" s="37">
        <v>22</v>
      </c>
      <c r="D90" s="37">
        <v>22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109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110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112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113</v>
      </c>
      <c r="C99" s="246">
        <f>C57+C65+C67+C73+C78+C82+C84+C89+C95</f>
        <v>16104.076509999999</v>
      </c>
      <c r="D99" s="246">
        <f>D57+D65+D67+D73+D78+D82+D84+D89+D95</f>
        <v>15778.0193</v>
      </c>
      <c r="E99" s="34">
        <f t="shared" si="3"/>
        <v>97.975312587483486</v>
      </c>
      <c r="F99" s="34">
        <f t="shared" si="4"/>
        <v>-326.05720999999903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114</v>
      </c>
      <c r="B101" s="63"/>
      <c r="C101" s="132"/>
      <c r="D101" s="132"/>
    </row>
    <row r="102" spans="1:8" s="65" customFormat="1" ht="12.75">
      <c r="A102" s="66" t="s">
        <v>115</v>
      </c>
      <c r="B102" s="66"/>
      <c r="C102" s="117" t="s">
        <v>116</v>
      </c>
    </row>
    <row r="104" spans="1:8" ht="5.25" customHeight="1"/>
    <row r="143" hidden="1"/>
  </sheetData>
  <customSheetViews>
    <customSheetView guid="{61528DAC-5C4C-48F4-ADE2-8A724B05A086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A486C6EE-08B2-475E-8DA1-C3C3163412A9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F1E84C44-1ACD-474A-BDE0-C7088DB6C590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3"/>
    </customSheetView>
    <customSheetView guid="{F85EE840-0C31-454A-8951-832C2E9E0600}" scale="70" showPageBreaks="1" printArea="1" hiddenRows="1" state="hidden" view="pageBreakPreview" topLeftCell="A30">
      <selection activeCell="C69" sqref="C69"/>
      <pageMargins left="0.70866141732283472" right="0.70866141732283472" top="0.74803149606299213" bottom="0.74803149606299213" header="0.31496062992125984" footer="0.31496062992125984"/>
      <pageSetup paperSize="9" scale="54" orientation="portrait" r:id="rId4"/>
    </customSheetView>
    <customSheetView guid="{3DCB9AAA-F09C-4EA6-B992-F93E466D374A}" printArea="1" hiddenRows="1" topLeftCell="A51">
      <selection activeCell="B100" sqref="B100"/>
      <pageMargins left="0.7" right="0.7" top="0.75" bottom="0.75" header="0.3" footer="0.3"/>
      <pageSetup paperSize="9" scale="54" orientation="portrait" r:id="rId5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39" orientation="portrait" r:id="rId6"/>
    </customSheetView>
    <customSheetView guid="{B30CE22D-C12F-4E12-8BB9-3AAE0A6991CC}" scale="70" showPageBreaks="1" printArea="1" hiddenRows="1" view="pageBreakPreview">
      <selection activeCell="C45" sqref="C45"/>
      <pageMargins left="0.70866141732283472" right="0.70866141732283472" top="0.74803149606299213" bottom="0.74803149606299213" header="0.31496062992125984" footer="0.31496062992125984"/>
      <pageSetup paperSize="9" scale="51" orientation="portrait" r:id="rId7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8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9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10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T33"/>
  <sheetViews>
    <sheetView view="pageBreakPreview" topLeftCell="DT4" zoomScale="70" zoomScaleSheetLayoutView="70" workbookViewId="0">
      <selection activeCell="EG18" sqref="EG18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8.85546875" style="149" customWidth="1"/>
    <col min="5" max="5" width="11.42578125" style="148" customWidth="1"/>
    <col min="6" max="6" width="15.42578125" style="148" customWidth="1"/>
    <col min="7" max="7" width="17.140625" style="148" customWidth="1"/>
    <col min="8" max="9" width="11" style="148" customWidth="1"/>
    <col min="10" max="10" width="6.140625" style="148" customWidth="1"/>
    <col min="11" max="11" width="6.5703125" style="148" customWidth="1"/>
    <col min="12" max="12" width="15.5703125" style="148" customWidth="1"/>
    <col min="13" max="13" width="15.140625" style="148" customWidth="1"/>
    <col min="14" max="16" width="11.140625" style="148" customWidth="1"/>
    <col min="17" max="17" width="6.28515625" style="148" customWidth="1"/>
    <col min="18" max="18" width="11.140625" style="148" customWidth="1"/>
    <col min="19" max="19" width="11.5703125" style="148" customWidth="1"/>
    <col min="20" max="20" width="11.140625" style="148" customWidth="1"/>
    <col min="21" max="21" width="9" style="148" customWidth="1"/>
    <col min="22" max="23" width="10.140625" style="148" customWidth="1"/>
    <col min="24" max="24" width="14.85546875" style="148" customWidth="1"/>
    <col min="25" max="25" width="13.85546875" style="148" customWidth="1"/>
    <col min="26" max="26" width="10" style="148" customWidth="1"/>
    <col min="27" max="27" width="10.5703125" style="148" customWidth="1"/>
    <col min="28" max="28" width="12.140625" style="148" customWidth="1"/>
    <col min="29" max="29" width="12.28515625" style="148" customWidth="1"/>
    <col min="30" max="30" width="13.5703125" style="148" customWidth="1"/>
    <col min="31" max="31" width="13.42578125" style="148" customWidth="1"/>
    <col min="32" max="32" width="12.5703125" style="148" customWidth="1"/>
    <col min="33" max="34" width="14.85546875" style="148" customWidth="1"/>
    <col min="35" max="35" width="10.7109375" style="148" customWidth="1"/>
    <col min="36" max="36" width="17" style="148" customWidth="1"/>
    <col min="37" max="37" width="15.7109375" style="148" customWidth="1"/>
    <col min="38" max="38" width="10" style="148" customWidth="1"/>
    <col min="39" max="39" width="13.85546875" style="148" customWidth="1"/>
    <col min="40" max="40" width="12.28515625" style="148" customWidth="1"/>
    <col min="41" max="41" width="11.85546875" style="148" customWidth="1"/>
    <col min="42" max="42" width="11" style="148" customWidth="1"/>
    <col min="43" max="43" width="11.85546875" style="148" customWidth="1"/>
    <col min="44" max="44" width="13.7109375" style="148" customWidth="1"/>
    <col min="45" max="45" width="12" style="148" customWidth="1"/>
    <col min="46" max="46" width="13.5703125" style="148" customWidth="1"/>
    <col min="47" max="47" width="16.28515625" style="148" customWidth="1"/>
    <col min="48" max="48" width="14.28515625" style="148" customWidth="1"/>
    <col min="49" max="49" width="15.42578125" style="148" customWidth="1"/>
    <col min="50" max="50" width="11" style="148" customWidth="1"/>
    <col min="51" max="51" width="14.42578125" style="148" customWidth="1"/>
    <col min="52" max="52" width="16" style="148" customWidth="1"/>
    <col min="53" max="53" width="12.42578125" style="148" customWidth="1"/>
    <col min="54" max="54" width="9.42578125" style="148" hidden="1" customWidth="1"/>
    <col min="55" max="55" width="9.7109375" style="148" hidden="1" customWidth="1"/>
    <col min="56" max="56" width="11.85546875" style="148" hidden="1" customWidth="1"/>
    <col min="57" max="57" width="13.85546875" style="148" customWidth="1"/>
    <col min="58" max="58" width="15.140625" style="148" customWidth="1"/>
    <col min="59" max="59" width="11.7109375" style="148" customWidth="1"/>
    <col min="60" max="62" width="9.85546875" style="148" hidden="1" customWidth="1"/>
    <col min="63" max="63" width="17.42578125" style="148" customWidth="1"/>
    <col min="64" max="64" width="14" style="148" customWidth="1"/>
    <col min="65" max="65" width="16" style="148" customWidth="1"/>
    <col min="66" max="67" width="9.7109375" style="148" hidden="1" customWidth="1"/>
    <col min="68" max="68" width="17.7109375" style="148" hidden="1" customWidth="1"/>
    <col min="69" max="69" width="0.42578125" style="148" customWidth="1"/>
    <col min="70" max="70" width="20.5703125" style="148" hidden="1" customWidth="1"/>
    <col min="71" max="71" width="10.140625" style="148" hidden="1" customWidth="1"/>
    <col min="72" max="72" width="12.7109375" style="148" customWidth="1"/>
    <col min="73" max="73" width="11.5703125" style="148" customWidth="1"/>
    <col min="74" max="74" width="16.140625" style="148" customWidth="1"/>
    <col min="75" max="75" width="16.28515625" style="148" customWidth="1"/>
    <col min="76" max="76" width="14.7109375" style="148" customWidth="1"/>
    <col min="77" max="77" width="12.42578125" style="148" customWidth="1"/>
    <col min="78" max="79" width="9.7109375" style="148" hidden="1" customWidth="1"/>
    <col min="80" max="80" width="9.5703125" style="148" hidden="1" customWidth="1"/>
    <col min="81" max="81" width="9.42578125" style="148" hidden="1" customWidth="1"/>
    <col min="82" max="82" width="9.7109375" style="148" hidden="1" customWidth="1"/>
    <col min="83" max="83" width="10.140625" style="148" hidden="1" customWidth="1"/>
    <col min="84" max="84" width="16.140625" style="148" customWidth="1"/>
    <col min="85" max="85" width="16.7109375" style="148" customWidth="1"/>
    <col min="86" max="86" width="10" style="148" customWidth="1"/>
    <col min="87" max="87" width="16.42578125" style="148" customWidth="1"/>
    <col min="88" max="88" width="15.7109375" style="148" customWidth="1"/>
    <col min="89" max="89" width="10.140625" style="148" customWidth="1"/>
    <col min="90" max="90" width="10" style="148" customWidth="1"/>
    <col min="91" max="91" width="9.85546875" style="148" customWidth="1"/>
    <col min="92" max="92" width="11.7109375" style="148" customWidth="1"/>
    <col min="93" max="93" width="18.5703125" style="148" customWidth="1"/>
    <col min="94" max="94" width="16.85546875" style="148" customWidth="1"/>
    <col min="95" max="95" width="10" style="148" customWidth="1"/>
    <col min="96" max="96" width="13.5703125" style="148" customWidth="1"/>
    <col min="97" max="97" width="13.85546875" style="148" customWidth="1"/>
    <col min="98" max="98" width="11.7109375" style="148" customWidth="1"/>
    <col min="99" max="100" width="16.42578125" style="148" customWidth="1"/>
    <col min="101" max="101" width="12.85546875" style="148" customWidth="1"/>
    <col min="102" max="102" width="13.28515625" style="148" customWidth="1"/>
    <col min="103" max="103" width="13.5703125" style="148" customWidth="1"/>
    <col min="104" max="104" width="11.5703125" style="148" customWidth="1"/>
    <col min="105" max="105" width="13.140625" style="148" bestFit="1" customWidth="1"/>
    <col min="106" max="106" width="14.42578125" style="148" customWidth="1"/>
    <col min="107" max="107" width="14.28515625" style="148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5" width="9.85546875" style="148" hidden="1" customWidth="1"/>
    <col min="116" max="116" width="14.42578125" style="148" hidden="1" customWidth="1"/>
    <col min="117" max="117" width="16.140625" style="148" customWidth="1"/>
    <col min="118" max="118" width="20.28515625" style="148" customWidth="1"/>
    <col min="119" max="119" width="13.140625" style="148" bestFit="1" customWidth="1"/>
    <col min="120" max="120" width="15.85546875" style="148" customWidth="1"/>
    <col min="121" max="121" width="15" style="148" customWidth="1"/>
    <col min="122" max="122" width="13.28515625" style="148" customWidth="1"/>
    <col min="123" max="123" width="16.7109375" style="148" customWidth="1"/>
    <col min="124" max="124" width="16.85546875" style="148" customWidth="1"/>
    <col min="125" max="125" width="12.28515625" style="148" customWidth="1"/>
    <col min="126" max="126" width="12" style="148" customWidth="1"/>
    <col min="127" max="127" width="11.42578125" style="148" customWidth="1"/>
    <col min="128" max="128" width="13.85546875" style="148" customWidth="1"/>
    <col min="129" max="129" width="11.140625" style="148" customWidth="1"/>
    <col min="130" max="130" width="13.7109375" style="148" customWidth="1"/>
    <col min="131" max="131" width="10.140625" style="148" customWidth="1"/>
    <col min="132" max="132" width="16" style="148" customWidth="1"/>
    <col min="133" max="133" width="14.28515625" style="148" customWidth="1"/>
    <col min="134" max="134" width="10.140625" style="148" customWidth="1"/>
    <col min="135" max="135" width="15.140625" style="148" customWidth="1"/>
    <col min="136" max="136" width="18.5703125" style="148" customWidth="1"/>
    <col min="137" max="137" width="11.140625" style="148" customWidth="1"/>
    <col min="138" max="138" width="15.28515625" style="148" customWidth="1"/>
    <col min="139" max="139" width="12.42578125" style="148" customWidth="1"/>
    <col min="140" max="140" width="10.140625" style="148" customWidth="1"/>
    <col min="141" max="141" width="16" style="148" customWidth="1"/>
    <col min="142" max="142" width="14.85546875" style="148" customWidth="1"/>
    <col min="143" max="143" width="10.5703125" style="148" customWidth="1"/>
    <col min="144" max="144" width="17.42578125" style="148" customWidth="1"/>
    <col min="145" max="145" width="15.85546875" style="148" customWidth="1"/>
    <col min="146" max="146" width="8.7109375" style="148" customWidth="1"/>
    <col min="147" max="147" width="14.5703125" style="148" customWidth="1"/>
    <col min="148" max="148" width="14.7109375" style="148" customWidth="1"/>
    <col min="149" max="150" width="10.140625" style="148" customWidth="1"/>
    <col min="151" max="151" width="10.7109375" style="148" customWidth="1"/>
    <col min="152" max="152" width="11.42578125" style="148" customWidth="1"/>
    <col min="153" max="153" width="12" style="148" customWidth="1"/>
    <col min="154" max="154" width="12.5703125" style="148" customWidth="1"/>
    <col min="155" max="155" width="11" style="148" customWidth="1"/>
    <col min="156" max="156" width="9.85546875" style="148" customWidth="1"/>
    <col min="157" max="157" width="9" style="148" customWidth="1"/>
    <col min="158" max="158" width="11.28515625" style="148" customWidth="1"/>
    <col min="159" max="159" width="17.85546875" style="148" customWidth="1"/>
    <col min="160" max="160" width="15.5703125" style="148" customWidth="1"/>
    <col min="161" max="161" width="12.7109375" style="148" customWidth="1"/>
    <col min="162" max="162" width="14.85546875" style="148" customWidth="1"/>
    <col min="163" max="16384" width="9.140625" style="148"/>
  </cols>
  <sheetData>
    <row r="1" spans="1:165" ht="18" customHeight="1">
      <c r="AD1" s="618" t="s">
        <v>130</v>
      </c>
      <c r="AE1" s="618"/>
      <c r="AF1" s="618"/>
      <c r="AG1" s="151"/>
      <c r="AH1" s="151"/>
      <c r="AI1" s="151"/>
      <c r="AJ1" s="613"/>
      <c r="AK1" s="613"/>
      <c r="AL1" s="613"/>
      <c r="AM1" s="152"/>
      <c r="AN1" s="152"/>
      <c r="AO1" s="152"/>
      <c r="AP1" s="152"/>
      <c r="AQ1" s="152"/>
      <c r="AR1" s="152"/>
    </row>
    <row r="2" spans="1:165" ht="19.5" customHeight="1">
      <c r="AD2" s="152" t="s">
        <v>131</v>
      </c>
      <c r="AE2" s="152"/>
      <c r="AF2" s="152"/>
      <c r="AG2" s="150"/>
      <c r="AH2" s="150"/>
      <c r="AI2" s="150"/>
      <c r="AJ2" s="613"/>
      <c r="AK2" s="613"/>
      <c r="AL2" s="613"/>
      <c r="AM2" s="152"/>
      <c r="AN2" s="152"/>
      <c r="AO2" s="152"/>
      <c r="AP2" s="152"/>
      <c r="AQ2" s="152"/>
      <c r="AR2" s="152"/>
    </row>
    <row r="3" spans="1:165" ht="30.75" customHeight="1">
      <c r="A3" s="153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623" t="s">
        <v>132</v>
      </c>
      <c r="AE3" s="623"/>
      <c r="AF3" s="623"/>
      <c r="AG3" s="153"/>
      <c r="AH3" s="153"/>
      <c r="AI3" s="153"/>
      <c r="AJ3" s="617"/>
      <c r="AK3" s="617"/>
      <c r="AL3" s="617"/>
      <c r="AM3" s="154"/>
      <c r="AN3" s="154"/>
      <c r="AO3" s="154"/>
      <c r="AP3" s="154"/>
      <c r="AQ3" s="154"/>
      <c r="AR3" s="154"/>
      <c r="AS3" s="153"/>
      <c r="AT3" s="153"/>
      <c r="AU3" s="153"/>
      <c r="AV3" s="153"/>
      <c r="AW3" s="153"/>
      <c r="AX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</row>
    <row r="4" spans="1:165" ht="24" customHeight="1">
      <c r="B4" s="621" t="s">
        <v>133</v>
      </c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155"/>
      <c r="AH4" s="155"/>
      <c r="AI4" s="155"/>
      <c r="AJ4" s="155"/>
      <c r="AK4" s="155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</row>
    <row r="5" spans="1:165" ht="20.25" customHeight="1">
      <c r="B5" s="619" t="s">
        <v>425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619"/>
      <c r="AG5" s="156"/>
      <c r="AH5" s="156"/>
      <c r="AI5" s="156"/>
      <c r="AJ5" s="156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</row>
    <row r="6" spans="1:165" ht="15" customHeight="1">
      <c r="A6" s="153"/>
      <c r="B6" s="343"/>
      <c r="C6" s="344"/>
      <c r="D6" s="345"/>
      <c r="E6" s="343"/>
      <c r="F6" s="343"/>
      <c r="G6" s="346"/>
      <c r="H6" s="346"/>
      <c r="I6" s="346"/>
      <c r="J6" s="346"/>
      <c r="K6" s="346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343"/>
      <c r="AF6" s="346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FC6" s="153"/>
      <c r="FD6" s="153"/>
      <c r="FE6" s="153"/>
    </row>
    <row r="7" spans="1:165" s="157" customFormat="1" ht="15" customHeight="1">
      <c r="A7" s="598" t="s">
        <v>134</v>
      </c>
      <c r="B7" s="598" t="s">
        <v>135</v>
      </c>
      <c r="C7" s="589" t="s">
        <v>136</v>
      </c>
      <c r="D7" s="590"/>
      <c r="E7" s="591"/>
      <c r="F7" s="270" t="s">
        <v>137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2"/>
      <c r="DJ7" s="271"/>
      <c r="DK7" s="271"/>
      <c r="DL7" s="272"/>
      <c r="DM7" s="589" t="s">
        <v>138</v>
      </c>
      <c r="DN7" s="590"/>
      <c r="DO7" s="591"/>
      <c r="DP7" s="589"/>
      <c r="DQ7" s="590"/>
      <c r="DR7" s="590"/>
      <c r="DS7" s="590"/>
      <c r="DT7" s="590"/>
      <c r="DU7" s="590"/>
      <c r="DV7" s="590"/>
      <c r="DW7" s="590"/>
      <c r="DX7" s="590"/>
      <c r="DY7" s="590"/>
      <c r="DZ7" s="590"/>
      <c r="EA7" s="590"/>
      <c r="EB7" s="590"/>
      <c r="EC7" s="590"/>
      <c r="ED7" s="590"/>
      <c r="EE7" s="590"/>
      <c r="EF7" s="590"/>
      <c r="EG7" s="590"/>
      <c r="EH7" s="590"/>
      <c r="EI7" s="590"/>
      <c r="EJ7" s="590"/>
      <c r="EK7" s="590"/>
      <c r="EL7" s="590"/>
      <c r="EM7" s="590"/>
      <c r="EN7" s="590"/>
      <c r="EO7" s="590"/>
      <c r="EP7" s="590"/>
      <c r="EQ7" s="590"/>
      <c r="ER7" s="590"/>
      <c r="ES7" s="590"/>
      <c r="ET7" s="590"/>
      <c r="EU7" s="590"/>
      <c r="EV7" s="590"/>
      <c r="EW7" s="590"/>
      <c r="EX7" s="590"/>
      <c r="EY7" s="590"/>
      <c r="EZ7" s="590"/>
      <c r="FA7" s="590"/>
      <c r="FB7" s="591"/>
      <c r="FC7" s="589" t="s">
        <v>139</v>
      </c>
      <c r="FD7" s="590"/>
      <c r="FE7" s="591"/>
    </row>
    <row r="8" spans="1:165" s="157" customFormat="1" ht="15" customHeight="1">
      <c r="A8" s="598"/>
      <c r="B8" s="598"/>
      <c r="C8" s="592"/>
      <c r="D8" s="593"/>
      <c r="E8" s="594"/>
      <c r="F8" s="592" t="s">
        <v>140</v>
      </c>
      <c r="G8" s="593"/>
      <c r="H8" s="594"/>
      <c r="I8" s="405"/>
      <c r="J8" s="405"/>
      <c r="K8" s="405"/>
      <c r="L8" s="614" t="s">
        <v>141</v>
      </c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615"/>
      <c r="AA8" s="615"/>
      <c r="AB8" s="615"/>
      <c r="AC8" s="615"/>
      <c r="AD8" s="615"/>
      <c r="AE8" s="615"/>
      <c r="AF8" s="615"/>
      <c r="AG8" s="615"/>
      <c r="AH8" s="615"/>
      <c r="AI8" s="615"/>
      <c r="AJ8" s="615"/>
      <c r="AK8" s="615"/>
      <c r="AL8" s="615"/>
      <c r="AM8" s="615"/>
      <c r="AN8" s="615"/>
      <c r="AO8" s="615"/>
      <c r="AP8" s="615"/>
      <c r="AQ8" s="615"/>
      <c r="AR8" s="615"/>
      <c r="AS8" s="615"/>
      <c r="AT8" s="615"/>
      <c r="AU8" s="615"/>
      <c r="AV8" s="615"/>
      <c r="AW8" s="615"/>
      <c r="AX8" s="615"/>
      <c r="AY8" s="615"/>
      <c r="AZ8" s="615"/>
      <c r="BA8" s="615"/>
      <c r="BB8" s="615"/>
      <c r="BC8" s="615"/>
      <c r="BD8" s="616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4"/>
      <c r="BZ8" s="275"/>
      <c r="CA8" s="275"/>
      <c r="CB8" s="275"/>
      <c r="CC8" s="276"/>
      <c r="CD8" s="276"/>
      <c r="CE8" s="276"/>
      <c r="CF8" s="598" t="s">
        <v>142</v>
      </c>
      <c r="CG8" s="598"/>
      <c r="CH8" s="598"/>
      <c r="CI8" s="595" t="s">
        <v>141</v>
      </c>
      <c r="CJ8" s="596"/>
      <c r="CK8" s="596"/>
      <c r="CL8" s="596"/>
      <c r="CM8" s="596"/>
      <c r="CN8" s="596"/>
      <c r="CO8" s="596"/>
      <c r="CP8" s="596"/>
      <c r="CQ8" s="596"/>
      <c r="CR8" s="596"/>
      <c r="CS8" s="596"/>
      <c r="CT8" s="596"/>
      <c r="CU8" s="277"/>
      <c r="CV8" s="277"/>
      <c r="CW8" s="277"/>
      <c r="CX8" s="277"/>
      <c r="CY8" s="277"/>
      <c r="CZ8" s="277"/>
      <c r="DA8" s="278"/>
      <c r="DB8" s="278"/>
      <c r="DC8" s="279"/>
      <c r="DD8" s="592" t="s">
        <v>143</v>
      </c>
      <c r="DE8" s="593"/>
      <c r="DF8" s="594"/>
      <c r="DG8" s="624"/>
      <c r="DH8" s="625"/>
      <c r="DI8" s="626"/>
      <c r="DJ8" s="624"/>
      <c r="DK8" s="625"/>
      <c r="DL8" s="626"/>
      <c r="DM8" s="592"/>
      <c r="DN8" s="593"/>
      <c r="DO8" s="594"/>
      <c r="DP8" s="592" t="s">
        <v>141</v>
      </c>
      <c r="DQ8" s="593"/>
      <c r="DR8" s="593"/>
      <c r="DS8" s="593"/>
      <c r="DT8" s="593"/>
      <c r="DU8" s="593"/>
      <c r="DV8" s="593"/>
      <c r="DW8" s="593"/>
      <c r="DX8" s="593"/>
      <c r="DY8" s="593"/>
      <c r="DZ8" s="593"/>
      <c r="EA8" s="593"/>
      <c r="EB8" s="593"/>
      <c r="EC8" s="593"/>
      <c r="ED8" s="593"/>
      <c r="EE8" s="593"/>
      <c r="EF8" s="593"/>
      <c r="EG8" s="593"/>
      <c r="EH8" s="593"/>
      <c r="EI8" s="593"/>
      <c r="EJ8" s="593"/>
      <c r="EK8" s="593"/>
      <c r="EL8" s="593"/>
      <c r="EM8" s="593"/>
      <c r="EN8" s="593"/>
      <c r="EO8" s="593"/>
      <c r="EP8" s="593"/>
      <c r="EQ8" s="593"/>
      <c r="ER8" s="593"/>
      <c r="ES8" s="593"/>
      <c r="ET8" s="593"/>
      <c r="EU8" s="593"/>
      <c r="EV8" s="593"/>
      <c r="EW8" s="593"/>
      <c r="EX8" s="593"/>
      <c r="EY8" s="593"/>
      <c r="EZ8" s="593"/>
      <c r="FA8" s="593"/>
      <c r="FB8" s="594"/>
      <c r="FC8" s="592"/>
      <c r="FD8" s="593"/>
      <c r="FE8" s="594"/>
    </row>
    <row r="9" spans="1:165" s="157" customFormat="1" ht="15" customHeight="1">
      <c r="A9" s="598"/>
      <c r="B9" s="598"/>
      <c r="C9" s="592"/>
      <c r="D9" s="593"/>
      <c r="E9" s="594"/>
      <c r="F9" s="592"/>
      <c r="G9" s="593"/>
      <c r="H9" s="594"/>
      <c r="I9" s="405"/>
      <c r="J9" s="405"/>
      <c r="K9" s="405"/>
      <c r="L9" s="589" t="s">
        <v>144</v>
      </c>
      <c r="M9" s="590"/>
      <c r="N9" s="591"/>
      <c r="O9" s="412"/>
      <c r="P9" s="412"/>
      <c r="Q9" s="412"/>
      <c r="R9" s="589" t="s">
        <v>271</v>
      </c>
      <c r="S9" s="590"/>
      <c r="T9" s="591"/>
      <c r="U9" s="589" t="s">
        <v>274</v>
      </c>
      <c r="V9" s="590"/>
      <c r="W9" s="591"/>
      <c r="X9" s="589" t="s">
        <v>272</v>
      </c>
      <c r="Y9" s="590"/>
      <c r="Z9" s="591"/>
      <c r="AA9" s="589" t="s">
        <v>273</v>
      </c>
      <c r="AB9" s="590"/>
      <c r="AC9" s="591"/>
      <c r="AD9" s="589" t="s">
        <v>145</v>
      </c>
      <c r="AE9" s="590"/>
      <c r="AF9" s="591"/>
      <c r="AG9" s="589" t="s">
        <v>146</v>
      </c>
      <c r="AH9" s="590"/>
      <c r="AI9" s="591"/>
      <c r="AJ9" s="589" t="s">
        <v>147</v>
      </c>
      <c r="AK9" s="590"/>
      <c r="AL9" s="591"/>
      <c r="AM9" s="598" t="s">
        <v>148</v>
      </c>
      <c r="AN9" s="598"/>
      <c r="AO9" s="598"/>
      <c r="AP9" s="589" t="s">
        <v>239</v>
      </c>
      <c r="AQ9" s="590"/>
      <c r="AR9" s="591"/>
      <c r="AS9" s="589" t="s">
        <v>149</v>
      </c>
      <c r="AT9" s="590"/>
      <c r="AU9" s="591"/>
      <c r="AV9" s="589" t="s">
        <v>318</v>
      </c>
      <c r="AW9" s="590"/>
      <c r="AX9" s="591"/>
      <c r="AY9" s="589" t="s">
        <v>150</v>
      </c>
      <c r="AZ9" s="590"/>
      <c r="BA9" s="591"/>
      <c r="BB9" s="589" t="s">
        <v>151</v>
      </c>
      <c r="BC9" s="590"/>
      <c r="BD9" s="591"/>
      <c r="BE9" s="589" t="s">
        <v>241</v>
      </c>
      <c r="BF9" s="590"/>
      <c r="BG9" s="591"/>
      <c r="BH9" s="589" t="s">
        <v>328</v>
      </c>
      <c r="BI9" s="590"/>
      <c r="BJ9" s="591"/>
      <c r="BK9" s="589" t="s">
        <v>389</v>
      </c>
      <c r="BL9" s="590"/>
      <c r="BM9" s="591"/>
      <c r="BN9" s="589" t="s">
        <v>152</v>
      </c>
      <c r="BO9" s="590"/>
      <c r="BP9" s="591"/>
      <c r="BQ9" s="589" t="s">
        <v>264</v>
      </c>
      <c r="BR9" s="590"/>
      <c r="BS9" s="591"/>
      <c r="BT9" s="589" t="s">
        <v>237</v>
      </c>
      <c r="BU9" s="590"/>
      <c r="BV9" s="591"/>
      <c r="BW9" s="589" t="s">
        <v>153</v>
      </c>
      <c r="BX9" s="590"/>
      <c r="BY9" s="591"/>
      <c r="BZ9" s="589" t="s">
        <v>154</v>
      </c>
      <c r="CA9" s="590"/>
      <c r="CB9" s="591"/>
      <c r="CC9" s="592" t="s">
        <v>155</v>
      </c>
      <c r="CD9" s="593"/>
      <c r="CE9" s="593"/>
      <c r="CF9" s="598"/>
      <c r="CG9" s="598"/>
      <c r="CH9" s="598"/>
      <c r="CI9" s="589" t="s">
        <v>319</v>
      </c>
      <c r="CJ9" s="590"/>
      <c r="CK9" s="591"/>
      <c r="CL9" s="589" t="s">
        <v>320</v>
      </c>
      <c r="CM9" s="590"/>
      <c r="CN9" s="591"/>
      <c r="CO9" s="589" t="s">
        <v>156</v>
      </c>
      <c r="CP9" s="590"/>
      <c r="CQ9" s="591"/>
      <c r="CR9" s="589" t="s">
        <v>157</v>
      </c>
      <c r="CS9" s="590"/>
      <c r="CT9" s="591"/>
      <c r="CU9" s="589" t="s">
        <v>21</v>
      </c>
      <c r="CV9" s="590"/>
      <c r="CW9" s="591"/>
      <c r="CX9" s="589" t="s">
        <v>281</v>
      </c>
      <c r="CY9" s="590"/>
      <c r="CZ9" s="591"/>
      <c r="DA9" s="589" t="s">
        <v>321</v>
      </c>
      <c r="DB9" s="590"/>
      <c r="DC9" s="591"/>
      <c r="DD9" s="592"/>
      <c r="DE9" s="593"/>
      <c r="DF9" s="594"/>
      <c r="DG9" s="589" t="s">
        <v>252</v>
      </c>
      <c r="DH9" s="590"/>
      <c r="DI9" s="591"/>
      <c r="DJ9" s="598" t="s">
        <v>158</v>
      </c>
      <c r="DK9" s="598"/>
      <c r="DL9" s="598"/>
      <c r="DM9" s="592"/>
      <c r="DN9" s="593"/>
      <c r="DO9" s="594"/>
      <c r="DP9" s="599" t="s">
        <v>159</v>
      </c>
      <c r="DQ9" s="600"/>
      <c r="DR9" s="601"/>
      <c r="DS9" s="608" t="s">
        <v>137</v>
      </c>
      <c r="DT9" s="609"/>
      <c r="DU9" s="609"/>
      <c r="DV9" s="609"/>
      <c r="DW9" s="609"/>
      <c r="DX9" s="609"/>
      <c r="DY9" s="609"/>
      <c r="DZ9" s="609"/>
      <c r="EA9" s="609"/>
      <c r="EB9" s="609"/>
      <c r="EC9" s="609"/>
      <c r="ED9" s="610"/>
      <c r="EE9" s="599" t="s">
        <v>160</v>
      </c>
      <c r="EF9" s="600"/>
      <c r="EG9" s="601"/>
      <c r="EH9" s="599" t="s">
        <v>161</v>
      </c>
      <c r="EI9" s="600"/>
      <c r="EJ9" s="601"/>
      <c r="EK9" s="599" t="s">
        <v>162</v>
      </c>
      <c r="EL9" s="600"/>
      <c r="EM9" s="601"/>
      <c r="EN9" s="599" t="s">
        <v>163</v>
      </c>
      <c r="EO9" s="600"/>
      <c r="EP9" s="601"/>
      <c r="EQ9" s="589" t="s">
        <v>275</v>
      </c>
      <c r="ER9" s="590"/>
      <c r="ES9" s="591"/>
      <c r="ET9" s="589" t="s">
        <v>164</v>
      </c>
      <c r="EU9" s="590"/>
      <c r="EV9" s="591"/>
      <c r="EW9" s="589" t="s">
        <v>306</v>
      </c>
      <c r="EX9" s="590"/>
      <c r="EY9" s="591"/>
      <c r="EZ9" s="598" t="s">
        <v>277</v>
      </c>
      <c r="FA9" s="598"/>
      <c r="FB9" s="598"/>
      <c r="FC9" s="592"/>
      <c r="FD9" s="593"/>
      <c r="FE9" s="594"/>
    </row>
    <row r="10" spans="1:165" s="157" customFormat="1" ht="62.25" customHeight="1">
      <c r="A10" s="598"/>
      <c r="B10" s="598"/>
      <c r="C10" s="592"/>
      <c r="D10" s="593"/>
      <c r="E10" s="594"/>
      <c r="F10" s="592"/>
      <c r="G10" s="593"/>
      <c r="H10" s="594"/>
      <c r="I10" s="405"/>
      <c r="J10" s="405"/>
      <c r="K10" s="405"/>
      <c r="L10" s="592"/>
      <c r="M10" s="593"/>
      <c r="N10" s="594"/>
      <c r="O10" s="413"/>
      <c r="P10" s="413"/>
      <c r="Q10" s="413"/>
      <c r="R10" s="592"/>
      <c r="S10" s="593"/>
      <c r="T10" s="594"/>
      <c r="U10" s="592"/>
      <c r="V10" s="593"/>
      <c r="W10" s="594"/>
      <c r="X10" s="592"/>
      <c r="Y10" s="593"/>
      <c r="Z10" s="594"/>
      <c r="AA10" s="592"/>
      <c r="AB10" s="593"/>
      <c r="AC10" s="594"/>
      <c r="AD10" s="592"/>
      <c r="AE10" s="593"/>
      <c r="AF10" s="594"/>
      <c r="AG10" s="592"/>
      <c r="AH10" s="593"/>
      <c r="AI10" s="594"/>
      <c r="AJ10" s="592"/>
      <c r="AK10" s="593"/>
      <c r="AL10" s="594"/>
      <c r="AM10" s="598"/>
      <c r="AN10" s="598"/>
      <c r="AO10" s="598"/>
      <c r="AP10" s="592"/>
      <c r="AQ10" s="593"/>
      <c r="AR10" s="594"/>
      <c r="AS10" s="592"/>
      <c r="AT10" s="593"/>
      <c r="AU10" s="594"/>
      <c r="AV10" s="592"/>
      <c r="AW10" s="593"/>
      <c r="AX10" s="594"/>
      <c r="AY10" s="592"/>
      <c r="AZ10" s="593"/>
      <c r="BA10" s="594"/>
      <c r="BB10" s="592"/>
      <c r="BC10" s="593"/>
      <c r="BD10" s="594"/>
      <c r="BE10" s="592"/>
      <c r="BF10" s="593"/>
      <c r="BG10" s="594"/>
      <c r="BH10" s="592"/>
      <c r="BI10" s="593"/>
      <c r="BJ10" s="594"/>
      <c r="BK10" s="592"/>
      <c r="BL10" s="593"/>
      <c r="BM10" s="594"/>
      <c r="BN10" s="592"/>
      <c r="BO10" s="593"/>
      <c r="BP10" s="594"/>
      <c r="BQ10" s="592"/>
      <c r="BR10" s="593"/>
      <c r="BS10" s="594"/>
      <c r="BT10" s="592"/>
      <c r="BU10" s="593"/>
      <c r="BV10" s="594"/>
      <c r="BW10" s="592"/>
      <c r="BX10" s="593"/>
      <c r="BY10" s="594"/>
      <c r="BZ10" s="592"/>
      <c r="CA10" s="593"/>
      <c r="CB10" s="594"/>
      <c r="CC10" s="592"/>
      <c r="CD10" s="593"/>
      <c r="CE10" s="593"/>
      <c r="CF10" s="598"/>
      <c r="CG10" s="598"/>
      <c r="CH10" s="598"/>
      <c r="CI10" s="592"/>
      <c r="CJ10" s="593"/>
      <c r="CK10" s="594"/>
      <c r="CL10" s="592"/>
      <c r="CM10" s="593"/>
      <c r="CN10" s="594"/>
      <c r="CO10" s="592"/>
      <c r="CP10" s="593"/>
      <c r="CQ10" s="594"/>
      <c r="CR10" s="592"/>
      <c r="CS10" s="593"/>
      <c r="CT10" s="594"/>
      <c r="CU10" s="592"/>
      <c r="CV10" s="593"/>
      <c r="CW10" s="594"/>
      <c r="CX10" s="592"/>
      <c r="CY10" s="593"/>
      <c r="CZ10" s="594"/>
      <c r="DA10" s="592"/>
      <c r="DB10" s="593"/>
      <c r="DC10" s="594"/>
      <c r="DD10" s="592"/>
      <c r="DE10" s="593"/>
      <c r="DF10" s="594"/>
      <c r="DG10" s="592"/>
      <c r="DH10" s="593"/>
      <c r="DI10" s="594"/>
      <c r="DJ10" s="598"/>
      <c r="DK10" s="598"/>
      <c r="DL10" s="598"/>
      <c r="DM10" s="592"/>
      <c r="DN10" s="593"/>
      <c r="DO10" s="594"/>
      <c r="DP10" s="602"/>
      <c r="DQ10" s="603"/>
      <c r="DR10" s="604"/>
      <c r="DS10" s="280"/>
      <c r="DT10" s="281"/>
      <c r="DU10" s="281"/>
      <c r="DV10" s="282"/>
      <c r="DW10" s="282"/>
      <c r="DX10" s="282"/>
      <c r="DY10" s="281"/>
      <c r="DZ10" s="281"/>
      <c r="EA10" s="281"/>
      <c r="EB10" s="281"/>
      <c r="EC10" s="281"/>
      <c r="ED10" s="283"/>
      <c r="EE10" s="602"/>
      <c r="EF10" s="603"/>
      <c r="EG10" s="604"/>
      <c r="EH10" s="602"/>
      <c r="EI10" s="603"/>
      <c r="EJ10" s="604"/>
      <c r="EK10" s="602"/>
      <c r="EL10" s="603"/>
      <c r="EM10" s="604"/>
      <c r="EN10" s="602"/>
      <c r="EO10" s="603"/>
      <c r="EP10" s="604"/>
      <c r="EQ10" s="592"/>
      <c r="ER10" s="593"/>
      <c r="ES10" s="594"/>
      <c r="ET10" s="592"/>
      <c r="EU10" s="593"/>
      <c r="EV10" s="594"/>
      <c r="EW10" s="592"/>
      <c r="EX10" s="593"/>
      <c r="EY10" s="594"/>
      <c r="EZ10" s="598"/>
      <c r="FA10" s="598"/>
      <c r="FB10" s="598"/>
      <c r="FC10" s="592"/>
      <c r="FD10" s="593"/>
      <c r="FE10" s="594"/>
    </row>
    <row r="11" spans="1:165" s="157" customFormat="1" ht="109.5" customHeight="1">
      <c r="A11" s="598"/>
      <c r="B11" s="598"/>
      <c r="C11" s="595"/>
      <c r="D11" s="596"/>
      <c r="E11" s="622"/>
      <c r="F11" s="595"/>
      <c r="G11" s="596"/>
      <c r="H11" s="597"/>
      <c r="I11" s="406"/>
      <c r="J11" s="406"/>
      <c r="K11" s="406"/>
      <c r="L11" s="595"/>
      <c r="M11" s="596"/>
      <c r="N11" s="597"/>
      <c r="O11" s="414"/>
      <c r="P11" s="414"/>
      <c r="Q11" s="414"/>
      <c r="R11" s="595"/>
      <c r="S11" s="596"/>
      <c r="T11" s="597"/>
      <c r="U11" s="595"/>
      <c r="V11" s="596"/>
      <c r="W11" s="597"/>
      <c r="X11" s="595"/>
      <c r="Y11" s="596"/>
      <c r="Z11" s="597"/>
      <c r="AA11" s="595"/>
      <c r="AB11" s="596"/>
      <c r="AC11" s="597"/>
      <c r="AD11" s="595"/>
      <c r="AE11" s="596"/>
      <c r="AF11" s="597"/>
      <c r="AG11" s="595"/>
      <c r="AH11" s="596"/>
      <c r="AI11" s="597"/>
      <c r="AJ11" s="595"/>
      <c r="AK11" s="596"/>
      <c r="AL11" s="597"/>
      <c r="AM11" s="598"/>
      <c r="AN11" s="598"/>
      <c r="AO11" s="598"/>
      <c r="AP11" s="595"/>
      <c r="AQ11" s="596"/>
      <c r="AR11" s="597"/>
      <c r="AS11" s="595"/>
      <c r="AT11" s="596"/>
      <c r="AU11" s="597"/>
      <c r="AV11" s="595"/>
      <c r="AW11" s="596"/>
      <c r="AX11" s="597"/>
      <c r="AY11" s="595"/>
      <c r="AZ11" s="596"/>
      <c r="BA11" s="597"/>
      <c r="BB11" s="595"/>
      <c r="BC11" s="596"/>
      <c r="BD11" s="597"/>
      <c r="BE11" s="595"/>
      <c r="BF11" s="596"/>
      <c r="BG11" s="597"/>
      <c r="BH11" s="595"/>
      <c r="BI11" s="596"/>
      <c r="BJ11" s="597"/>
      <c r="BK11" s="595"/>
      <c r="BL11" s="596"/>
      <c r="BM11" s="597"/>
      <c r="BN11" s="595"/>
      <c r="BO11" s="596"/>
      <c r="BP11" s="597"/>
      <c r="BQ11" s="595"/>
      <c r="BR11" s="596"/>
      <c r="BS11" s="597"/>
      <c r="BT11" s="595"/>
      <c r="BU11" s="596"/>
      <c r="BV11" s="597"/>
      <c r="BW11" s="595"/>
      <c r="BX11" s="596"/>
      <c r="BY11" s="597"/>
      <c r="BZ11" s="595"/>
      <c r="CA11" s="596"/>
      <c r="CB11" s="597"/>
      <c r="CC11" s="595"/>
      <c r="CD11" s="596"/>
      <c r="CE11" s="596"/>
      <c r="CF11" s="598"/>
      <c r="CG11" s="598"/>
      <c r="CH11" s="598"/>
      <c r="CI11" s="595"/>
      <c r="CJ11" s="596"/>
      <c r="CK11" s="597"/>
      <c r="CL11" s="595"/>
      <c r="CM11" s="596"/>
      <c r="CN11" s="597"/>
      <c r="CO11" s="595"/>
      <c r="CP11" s="596"/>
      <c r="CQ11" s="597"/>
      <c r="CR11" s="595"/>
      <c r="CS11" s="596"/>
      <c r="CT11" s="597"/>
      <c r="CU11" s="595"/>
      <c r="CV11" s="596"/>
      <c r="CW11" s="597"/>
      <c r="CX11" s="595"/>
      <c r="CY11" s="596"/>
      <c r="CZ11" s="597"/>
      <c r="DA11" s="595"/>
      <c r="DB11" s="596"/>
      <c r="DC11" s="597"/>
      <c r="DD11" s="595"/>
      <c r="DE11" s="596"/>
      <c r="DF11" s="597"/>
      <c r="DG11" s="595"/>
      <c r="DH11" s="596"/>
      <c r="DI11" s="597"/>
      <c r="DJ11" s="598"/>
      <c r="DK11" s="598"/>
      <c r="DL11" s="598"/>
      <c r="DM11" s="595"/>
      <c r="DN11" s="596"/>
      <c r="DO11" s="597"/>
      <c r="DP11" s="605"/>
      <c r="DQ11" s="606"/>
      <c r="DR11" s="607"/>
      <c r="DS11" s="605" t="s">
        <v>165</v>
      </c>
      <c r="DT11" s="606"/>
      <c r="DU11" s="607"/>
      <c r="DV11" s="608" t="s">
        <v>166</v>
      </c>
      <c r="DW11" s="609"/>
      <c r="DX11" s="610"/>
      <c r="DY11" s="605" t="s">
        <v>167</v>
      </c>
      <c r="DZ11" s="606"/>
      <c r="EA11" s="607"/>
      <c r="EB11" s="605" t="s">
        <v>234</v>
      </c>
      <c r="EC11" s="606"/>
      <c r="ED11" s="607"/>
      <c r="EE11" s="605"/>
      <c r="EF11" s="606"/>
      <c r="EG11" s="607"/>
      <c r="EH11" s="605"/>
      <c r="EI11" s="606"/>
      <c r="EJ11" s="607"/>
      <c r="EK11" s="605"/>
      <c r="EL11" s="606"/>
      <c r="EM11" s="607"/>
      <c r="EN11" s="605"/>
      <c r="EO11" s="606"/>
      <c r="EP11" s="607"/>
      <c r="EQ11" s="595"/>
      <c r="ER11" s="596"/>
      <c r="ES11" s="597"/>
      <c r="ET11" s="595"/>
      <c r="EU11" s="596"/>
      <c r="EV11" s="597"/>
      <c r="EW11" s="595"/>
      <c r="EX11" s="596"/>
      <c r="EY11" s="597"/>
      <c r="EZ11" s="598"/>
      <c r="FA11" s="598"/>
      <c r="FB11" s="598"/>
      <c r="FC11" s="595"/>
      <c r="FD11" s="596"/>
      <c r="FE11" s="597"/>
      <c r="FG11" s="158"/>
      <c r="FH11" s="158"/>
      <c r="FI11" s="158"/>
    </row>
    <row r="12" spans="1:165" s="157" customFormat="1" ht="42.75" customHeight="1">
      <c r="A12" s="598"/>
      <c r="B12" s="598"/>
      <c r="C12" s="284" t="s">
        <v>168</v>
      </c>
      <c r="D12" s="285" t="s">
        <v>169</v>
      </c>
      <c r="E12" s="284" t="s">
        <v>170</v>
      </c>
      <c r="F12" s="284" t="s">
        <v>168</v>
      </c>
      <c r="G12" s="284" t="s">
        <v>169</v>
      </c>
      <c r="H12" s="284" t="s">
        <v>170</v>
      </c>
      <c r="I12" s="284"/>
      <c r="J12" s="284"/>
      <c r="K12" s="284"/>
      <c r="L12" s="284" t="s">
        <v>168</v>
      </c>
      <c r="M12" s="284" t="s">
        <v>169</v>
      </c>
      <c r="N12" s="284" t="s">
        <v>170</v>
      </c>
      <c r="O12" s="284"/>
      <c r="P12" s="284"/>
      <c r="Q12" s="284"/>
      <c r="R12" s="284" t="s">
        <v>168</v>
      </c>
      <c r="S12" s="284" t="s">
        <v>169</v>
      </c>
      <c r="T12" s="284" t="s">
        <v>170</v>
      </c>
      <c r="U12" s="284" t="s">
        <v>168</v>
      </c>
      <c r="V12" s="284" t="s">
        <v>169</v>
      </c>
      <c r="W12" s="284" t="s">
        <v>170</v>
      </c>
      <c r="X12" s="284" t="s">
        <v>168</v>
      </c>
      <c r="Y12" s="284" t="s">
        <v>169</v>
      </c>
      <c r="Z12" s="284" t="s">
        <v>170</v>
      </c>
      <c r="AA12" s="284" t="s">
        <v>168</v>
      </c>
      <c r="AB12" s="284" t="s">
        <v>169</v>
      </c>
      <c r="AC12" s="284" t="s">
        <v>170</v>
      </c>
      <c r="AD12" s="284" t="s">
        <v>168</v>
      </c>
      <c r="AE12" s="284" t="s">
        <v>169</v>
      </c>
      <c r="AF12" s="284" t="s">
        <v>170</v>
      </c>
      <c r="AG12" s="284" t="s">
        <v>168</v>
      </c>
      <c r="AH12" s="284" t="s">
        <v>169</v>
      </c>
      <c r="AI12" s="284" t="s">
        <v>170</v>
      </c>
      <c r="AJ12" s="284" t="s">
        <v>168</v>
      </c>
      <c r="AK12" s="284" t="s">
        <v>169</v>
      </c>
      <c r="AL12" s="284" t="s">
        <v>170</v>
      </c>
      <c r="AM12" s="284" t="s">
        <v>168</v>
      </c>
      <c r="AN12" s="284" t="s">
        <v>169</v>
      </c>
      <c r="AO12" s="284" t="s">
        <v>170</v>
      </c>
      <c r="AP12" s="284" t="s">
        <v>168</v>
      </c>
      <c r="AQ12" s="284" t="s">
        <v>169</v>
      </c>
      <c r="AR12" s="284" t="s">
        <v>170</v>
      </c>
      <c r="AS12" s="284" t="s">
        <v>168</v>
      </c>
      <c r="AT12" s="284" t="s">
        <v>169</v>
      </c>
      <c r="AU12" s="284" t="s">
        <v>170</v>
      </c>
      <c r="AV12" s="284" t="s">
        <v>168</v>
      </c>
      <c r="AW12" s="284" t="s">
        <v>169</v>
      </c>
      <c r="AX12" s="284" t="s">
        <v>170</v>
      </c>
      <c r="AY12" s="284" t="s">
        <v>168</v>
      </c>
      <c r="AZ12" s="284" t="s">
        <v>169</v>
      </c>
      <c r="BA12" s="284" t="s">
        <v>170</v>
      </c>
      <c r="BB12" s="284" t="s">
        <v>168</v>
      </c>
      <c r="BC12" s="284" t="s">
        <v>169</v>
      </c>
      <c r="BD12" s="284" t="s">
        <v>170</v>
      </c>
      <c r="BE12" s="284" t="s">
        <v>168</v>
      </c>
      <c r="BF12" s="284" t="s">
        <v>169</v>
      </c>
      <c r="BG12" s="284" t="s">
        <v>170</v>
      </c>
      <c r="BH12" s="284"/>
      <c r="BI12" s="284"/>
      <c r="BJ12" s="284"/>
      <c r="BK12" s="284" t="s">
        <v>171</v>
      </c>
      <c r="BL12" s="284" t="s">
        <v>169</v>
      </c>
      <c r="BM12" s="284" t="s">
        <v>170</v>
      </c>
      <c r="BN12" s="284" t="s">
        <v>168</v>
      </c>
      <c r="BO12" s="284" t="s">
        <v>169</v>
      </c>
      <c r="BP12" s="284" t="s">
        <v>170</v>
      </c>
      <c r="BQ12" s="284" t="s">
        <v>168</v>
      </c>
      <c r="BR12" s="284" t="s">
        <v>169</v>
      </c>
      <c r="BS12" s="284" t="s">
        <v>170</v>
      </c>
      <c r="BT12" s="284" t="s">
        <v>171</v>
      </c>
      <c r="BU12" s="284" t="s">
        <v>169</v>
      </c>
      <c r="BV12" s="284" t="s">
        <v>170</v>
      </c>
      <c r="BW12" s="284" t="s">
        <v>171</v>
      </c>
      <c r="BX12" s="284" t="s">
        <v>169</v>
      </c>
      <c r="BY12" s="284" t="s">
        <v>170</v>
      </c>
      <c r="BZ12" s="284" t="s">
        <v>171</v>
      </c>
      <c r="CA12" s="284" t="s">
        <v>169</v>
      </c>
      <c r="CB12" s="284" t="s">
        <v>170</v>
      </c>
      <c r="CC12" s="284" t="s">
        <v>171</v>
      </c>
      <c r="CD12" s="284" t="s">
        <v>169</v>
      </c>
      <c r="CE12" s="284" t="s">
        <v>170</v>
      </c>
      <c r="CF12" s="284" t="s">
        <v>168</v>
      </c>
      <c r="CG12" s="284" t="s">
        <v>169</v>
      </c>
      <c r="CH12" s="284" t="s">
        <v>170</v>
      </c>
      <c r="CI12" s="284" t="s">
        <v>168</v>
      </c>
      <c r="CJ12" s="284" t="s">
        <v>169</v>
      </c>
      <c r="CK12" s="284" t="s">
        <v>170</v>
      </c>
      <c r="CL12" s="284" t="s">
        <v>168</v>
      </c>
      <c r="CM12" s="284" t="s">
        <v>169</v>
      </c>
      <c r="CN12" s="284" t="s">
        <v>170</v>
      </c>
      <c r="CO12" s="284" t="s">
        <v>168</v>
      </c>
      <c r="CP12" s="284" t="s">
        <v>169</v>
      </c>
      <c r="CQ12" s="284" t="s">
        <v>170</v>
      </c>
      <c r="CR12" s="284" t="s">
        <v>168</v>
      </c>
      <c r="CS12" s="284" t="s">
        <v>169</v>
      </c>
      <c r="CT12" s="284" t="s">
        <v>170</v>
      </c>
      <c r="CU12" s="284" t="s">
        <v>168</v>
      </c>
      <c r="CV12" s="284" t="s">
        <v>169</v>
      </c>
      <c r="CW12" s="284" t="s">
        <v>170</v>
      </c>
      <c r="CX12" s="284" t="s">
        <v>168</v>
      </c>
      <c r="CY12" s="284" t="s">
        <v>169</v>
      </c>
      <c r="CZ12" s="284" t="s">
        <v>170</v>
      </c>
      <c r="DA12" s="284" t="s">
        <v>168</v>
      </c>
      <c r="DB12" s="284" t="s">
        <v>169</v>
      </c>
      <c r="DC12" s="284" t="s">
        <v>170</v>
      </c>
      <c r="DD12" s="284" t="s">
        <v>168</v>
      </c>
      <c r="DE12" s="284" t="s">
        <v>169</v>
      </c>
      <c r="DF12" s="284" t="s">
        <v>170</v>
      </c>
      <c r="DG12" s="284" t="s">
        <v>168</v>
      </c>
      <c r="DH12" s="284" t="s">
        <v>169</v>
      </c>
      <c r="DI12" s="284" t="s">
        <v>170</v>
      </c>
      <c r="DJ12" s="284" t="s">
        <v>168</v>
      </c>
      <c r="DK12" s="284" t="s">
        <v>169</v>
      </c>
      <c r="DL12" s="284" t="s">
        <v>170</v>
      </c>
      <c r="DM12" s="284" t="s">
        <v>168</v>
      </c>
      <c r="DN12" s="284" t="s">
        <v>169</v>
      </c>
      <c r="DO12" s="284" t="s">
        <v>170</v>
      </c>
      <c r="DP12" s="284" t="s">
        <v>168</v>
      </c>
      <c r="DQ12" s="284" t="s">
        <v>169</v>
      </c>
      <c r="DR12" s="284" t="s">
        <v>170</v>
      </c>
      <c r="DS12" s="284" t="s">
        <v>168</v>
      </c>
      <c r="DT12" s="284" t="s">
        <v>169</v>
      </c>
      <c r="DU12" s="284" t="s">
        <v>170</v>
      </c>
      <c r="DV12" s="284" t="s">
        <v>168</v>
      </c>
      <c r="DW12" s="284" t="s">
        <v>169</v>
      </c>
      <c r="DX12" s="284" t="s">
        <v>170</v>
      </c>
      <c r="DY12" s="284" t="s">
        <v>168</v>
      </c>
      <c r="DZ12" s="284" t="s">
        <v>169</v>
      </c>
      <c r="EA12" s="284" t="s">
        <v>170</v>
      </c>
      <c r="EB12" s="284" t="s">
        <v>168</v>
      </c>
      <c r="EC12" s="284" t="s">
        <v>169</v>
      </c>
      <c r="ED12" s="284" t="s">
        <v>170</v>
      </c>
      <c r="EE12" s="284" t="s">
        <v>168</v>
      </c>
      <c r="EF12" s="284" t="s">
        <v>169</v>
      </c>
      <c r="EG12" s="284" t="s">
        <v>170</v>
      </c>
      <c r="EH12" s="284" t="s">
        <v>168</v>
      </c>
      <c r="EI12" s="284" t="s">
        <v>169</v>
      </c>
      <c r="EJ12" s="284" t="s">
        <v>170</v>
      </c>
      <c r="EK12" s="284" t="s">
        <v>168</v>
      </c>
      <c r="EL12" s="284" t="s">
        <v>169</v>
      </c>
      <c r="EM12" s="284" t="s">
        <v>170</v>
      </c>
      <c r="EN12" s="284" t="s">
        <v>168</v>
      </c>
      <c r="EO12" s="284" t="s">
        <v>169</v>
      </c>
      <c r="EP12" s="284" t="s">
        <v>170</v>
      </c>
      <c r="EQ12" s="284" t="s">
        <v>168</v>
      </c>
      <c r="ER12" s="284" t="s">
        <v>169</v>
      </c>
      <c r="ES12" s="284" t="s">
        <v>170</v>
      </c>
      <c r="ET12" s="284" t="s">
        <v>168</v>
      </c>
      <c r="EU12" s="284" t="s">
        <v>169</v>
      </c>
      <c r="EV12" s="284" t="s">
        <v>170</v>
      </c>
      <c r="EW12" s="284" t="s">
        <v>168</v>
      </c>
      <c r="EX12" s="284" t="s">
        <v>169</v>
      </c>
      <c r="EY12" s="284" t="s">
        <v>170</v>
      </c>
      <c r="EZ12" s="284" t="s">
        <v>168</v>
      </c>
      <c r="FA12" s="284" t="s">
        <v>169</v>
      </c>
      <c r="FB12" s="284" t="s">
        <v>170</v>
      </c>
      <c r="FC12" s="284" t="s">
        <v>168</v>
      </c>
      <c r="FD12" s="284" t="s">
        <v>169</v>
      </c>
      <c r="FE12" s="284" t="s">
        <v>170</v>
      </c>
      <c r="FG12" s="158"/>
      <c r="FH12" s="158"/>
      <c r="FI12" s="158"/>
    </row>
    <row r="13" spans="1:165" s="157" customFormat="1" ht="24" customHeight="1">
      <c r="A13" s="286">
        <v>1</v>
      </c>
      <c r="B13" s="284">
        <v>2</v>
      </c>
      <c r="C13" s="286">
        <v>3</v>
      </c>
      <c r="D13" s="285">
        <v>4</v>
      </c>
      <c r="E13" s="286">
        <v>5</v>
      </c>
      <c r="F13" s="284">
        <v>6</v>
      </c>
      <c r="G13" s="286">
        <v>7</v>
      </c>
      <c r="H13" s="284">
        <v>8</v>
      </c>
      <c r="I13" s="284"/>
      <c r="J13" s="284"/>
      <c r="K13" s="284"/>
      <c r="L13" s="286">
        <v>9</v>
      </c>
      <c r="M13" s="284">
        <v>10</v>
      </c>
      <c r="N13" s="286">
        <v>11</v>
      </c>
      <c r="O13" s="415"/>
      <c r="P13" s="415"/>
      <c r="Q13" s="415"/>
      <c r="R13" s="286">
        <v>12</v>
      </c>
      <c r="S13" s="286">
        <v>13</v>
      </c>
      <c r="T13" s="286">
        <v>14</v>
      </c>
      <c r="U13" s="286">
        <v>15</v>
      </c>
      <c r="V13" s="286">
        <v>16</v>
      </c>
      <c r="W13" s="286">
        <v>17</v>
      </c>
      <c r="X13" s="286">
        <v>18</v>
      </c>
      <c r="Y13" s="286">
        <v>19</v>
      </c>
      <c r="Z13" s="286">
        <v>20</v>
      </c>
      <c r="AA13" s="286">
        <v>21</v>
      </c>
      <c r="AB13" s="286">
        <v>22</v>
      </c>
      <c r="AC13" s="286">
        <v>23</v>
      </c>
      <c r="AD13" s="284">
        <v>24</v>
      </c>
      <c r="AE13" s="286">
        <v>25</v>
      </c>
      <c r="AF13" s="284">
        <v>26</v>
      </c>
      <c r="AG13" s="286">
        <v>27</v>
      </c>
      <c r="AH13" s="284">
        <v>28</v>
      </c>
      <c r="AI13" s="286">
        <v>29</v>
      </c>
      <c r="AJ13" s="284">
        <v>30</v>
      </c>
      <c r="AK13" s="286">
        <v>31</v>
      </c>
      <c r="AL13" s="284">
        <v>32</v>
      </c>
      <c r="AM13" s="286">
        <v>33</v>
      </c>
      <c r="AN13" s="284">
        <v>34</v>
      </c>
      <c r="AO13" s="286">
        <v>35</v>
      </c>
      <c r="AP13" s="286">
        <v>36</v>
      </c>
      <c r="AQ13" s="286">
        <v>37</v>
      </c>
      <c r="AR13" s="286">
        <v>38</v>
      </c>
      <c r="AS13" s="284">
        <v>39</v>
      </c>
      <c r="AT13" s="286">
        <v>40</v>
      </c>
      <c r="AU13" s="284">
        <v>41</v>
      </c>
      <c r="AV13" s="286">
        <v>42</v>
      </c>
      <c r="AW13" s="284">
        <v>43</v>
      </c>
      <c r="AX13" s="286">
        <v>44</v>
      </c>
      <c r="AY13" s="286">
        <v>45</v>
      </c>
      <c r="AZ13" s="284">
        <v>46</v>
      </c>
      <c r="BA13" s="286">
        <v>47</v>
      </c>
      <c r="BB13" s="286">
        <v>48</v>
      </c>
      <c r="BC13" s="284">
        <v>49</v>
      </c>
      <c r="BD13" s="286">
        <v>50</v>
      </c>
      <c r="BE13" s="286">
        <v>48</v>
      </c>
      <c r="BF13" s="284">
        <v>49</v>
      </c>
      <c r="BG13" s="286">
        <v>50</v>
      </c>
      <c r="BH13" s="286">
        <v>51</v>
      </c>
      <c r="BI13" s="286">
        <v>52</v>
      </c>
      <c r="BJ13" s="286">
        <v>56</v>
      </c>
      <c r="BK13" s="284">
        <v>51</v>
      </c>
      <c r="BL13" s="286">
        <v>52</v>
      </c>
      <c r="BM13" s="284">
        <v>53</v>
      </c>
      <c r="BN13" s="286">
        <v>60</v>
      </c>
      <c r="BO13" s="287">
        <v>61</v>
      </c>
      <c r="BP13" s="288">
        <v>62</v>
      </c>
      <c r="BQ13" s="286">
        <v>63</v>
      </c>
      <c r="BR13" s="286">
        <v>64</v>
      </c>
      <c r="BS13" s="286">
        <v>65</v>
      </c>
      <c r="BT13" s="286">
        <v>66</v>
      </c>
      <c r="BU13" s="286">
        <v>67</v>
      </c>
      <c r="BV13" s="286">
        <v>68</v>
      </c>
      <c r="BW13" s="284">
        <v>54</v>
      </c>
      <c r="BX13" s="286">
        <v>55</v>
      </c>
      <c r="BY13" s="284">
        <v>56</v>
      </c>
      <c r="BZ13" s="286">
        <v>72</v>
      </c>
      <c r="CA13" s="284">
        <v>73</v>
      </c>
      <c r="CB13" s="286">
        <v>74</v>
      </c>
      <c r="CC13" s="284">
        <v>75</v>
      </c>
      <c r="CD13" s="286">
        <v>76</v>
      </c>
      <c r="CE13" s="284">
        <v>77</v>
      </c>
      <c r="CF13" s="286">
        <v>57</v>
      </c>
      <c r="CG13" s="284">
        <v>58</v>
      </c>
      <c r="CH13" s="286">
        <v>59</v>
      </c>
      <c r="CI13" s="284">
        <v>60</v>
      </c>
      <c r="CJ13" s="286">
        <v>61</v>
      </c>
      <c r="CK13" s="284">
        <v>62</v>
      </c>
      <c r="CL13" s="286">
        <v>63</v>
      </c>
      <c r="CM13" s="284">
        <v>64</v>
      </c>
      <c r="CN13" s="286">
        <v>65</v>
      </c>
      <c r="CO13" s="284">
        <v>66</v>
      </c>
      <c r="CP13" s="286">
        <v>67</v>
      </c>
      <c r="CQ13" s="284">
        <v>68</v>
      </c>
      <c r="CR13" s="286">
        <v>69</v>
      </c>
      <c r="CS13" s="284">
        <v>70</v>
      </c>
      <c r="CT13" s="286">
        <v>71</v>
      </c>
      <c r="CU13" s="286">
        <v>72</v>
      </c>
      <c r="CV13" s="286">
        <v>73</v>
      </c>
      <c r="CW13" s="286">
        <v>74</v>
      </c>
      <c r="CX13" s="286">
        <v>75</v>
      </c>
      <c r="CY13" s="286">
        <v>76</v>
      </c>
      <c r="CZ13" s="286">
        <v>77</v>
      </c>
      <c r="DA13" s="286">
        <v>78</v>
      </c>
      <c r="DB13" s="286">
        <v>79</v>
      </c>
      <c r="DC13" s="286">
        <v>80</v>
      </c>
      <c r="DD13" s="284">
        <v>96</v>
      </c>
      <c r="DE13" s="286">
        <v>97</v>
      </c>
      <c r="DF13" s="284">
        <v>98</v>
      </c>
      <c r="DG13" s="284">
        <v>99</v>
      </c>
      <c r="DH13" s="284">
        <v>100</v>
      </c>
      <c r="DI13" s="284">
        <v>101</v>
      </c>
      <c r="DJ13" s="284">
        <v>102</v>
      </c>
      <c r="DK13" s="284">
        <v>103</v>
      </c>
      <c r="DL13" s="284">
        <v>104</v>
      </c>
      <c r="DM13" s="286">
        <v>81</v>
      </c>
      <c r="DN13" s="284">
        <v>82</v>
      </c>
      <c r="DO13" s="286">
        <v>83</v>
      </c>
      <c r="DP13" s="284">
        <v>84</v>
      </c>
      <c r="DQ13" s="286">
        <v>85</v>
      </c>
      <c r="DR13" s="284">
        <v>86</v>
      </c>
      <c r="DS13" s="286">
        <v>87</v>
      </c>
      <c r="DT13" s="284">
        <v>88</v>
      </c>
      <c r="DU13" s="286">
        <v>89</v>
      </c>
      <c r="DV13" s="284">
        <v>90</v>
      </c>
      <c r="DW13" s="286">
        <v>91</v>
      </c>
      <c r="DX13" s="284">
        <v>92</v>
      </c>
      <c r="DY13" s="286">
        <v>93</v>
      </c>
      <c r="DZ13" s="284">
        <v>94</v>
      </c>
      <c r="EA13" s="286">
        <v>95</v>
      </c>
      <c r="EB13" s="284">
        <v>96</v>
      </c>
      <c r="EC13" s="284">
        <v>97</v>
      </c>
      <c r="ED13" s="284">
        <v>98</v>
      </c>
      <c r="EE13" s="286">
        <v>99</v>
      </c>
      <c r="EF13" s="284">
        <v>100</v>
      </c>
      <c r="EG13" s="286">
        <v>101</v>
      </c>
      <c r="EH13" s="284">
        <v>102</v>
      </c>
      <c r="EI13" s="286">
        <v>103</v>
      </c>
      <c r="EJ13" s="284">
        <v>104</v>
      </c>
      <c r="EK13" s="286">
        <v>105</v>
      </c>
      <c r="EL13" s="284">
        <v>106</v>
      </c>
      <c r="EM13" s="286">
        <v>107</v>
      </c>
      <c r="EN13" s="284">
        <v>108</v>
      </c>
      <c r="EO13" s="286">
        <v>109</v>
      </c>
      <c r="EP13" s="284">
        <v>110</v>
      </c>
      <c r="EQ13" s="286">
        <v>111</v>
      </c>
      <c r="ER13" s="284">
        <v>112</v>
      </c>
      <c r="ES13" s="286">
        <v>113</v>
      </c>
      <c r="ET13" s="284">
        <v>114</v>
      </c>
      <c r="EU13" s="286">
        <v>115</v>
      </c>
      <c r="EV13" s="284">
        <v>116</v>
      </c>
      <c r="EW13" s="286">
        <v>117</v>
      </c>
      <c r="EX13" s="284">
        <v>118</v>
      </c>
      <c r="EY13" s="286">
        <v>119</v>
      </c>
      <c r="EZ13" s="284">
        <v>120</v>
      </c>
      <c r="FA13" s="286">
        <v>121</v>
      </c>
      <c r="FB13" s="284">
        <v>122</v>
      </c>
      <c r="FC13" s="286">
        <v>123</v>
      </c>
      <c r="FD13" s="284">
        <v>124</v>
      </c>
      <c r="FE13" s="286">
        <v>125</v>
      </c>
    </row>
    <row r="14" spans="1:165" s="157" customFormat="1" ht="25.5" customHeight="1">
      <c r="A14" s="331">
        <v>1</v>
      </c>
      <c r="B14" s="332" t="s">
        <v>282</v>
      </c>
      <c r="C14" s="289">
        <f>F14+CF14</f>
        <v>7133.6502700000001</v>
      </c>
      <c r="D14" s="290">
        <f t="shared" ref="D14:D29" si="0">G14+CG14+DE14</f>
        <v>7163.87752</v>
      </c>
      <c r="E14" s="291">
        <f t="shared" ref="E14:E29" si="1">D14/C14*100</f>
        <v>100.42372766894836</v>
      </c>
      <c r="F14" s="292">
        <f t="shared" ref="F14" si="2">L14+AD14+AG14+AJ14+AM14+AS14+AY14+BK14+BW14+BT14+AP14+BE14+R14+X14+U14+AA14+AV14</f>
        <v>1098.6209999999999</v>
      </c>
      <c r="G14" s="292">
        <f t="shared" ref="G14:G29" si="3">M14+AE14+AH14+AK14+AN14+AT14+AZ14+BL14+AQ14+BX14+BU14+BF14+S14+Y14+V14+AB14+AW14</f>
        <v>1128.84825</v>
      </c>
      <c r="H14" s="291">
        <f>G14/F14*100</f>
        <v>102.75138104951573</v>
      </c>
      <c r="I14" s="291">
        <f>L14+R14+U14+X14+AA14+AD14+AG14+AJ14+AM14</f>
        <v>613.77</v>
      </c>
      <c r="J14" s="291"/>
      <c r="K14" s="291"/>
      <c r="L14" s="293">
        <f>Але!C6</f>
        <v>81</v>
      </c>
      <c r="M14" s="382">
        <f>Але!D6</f>
        <v>81.830629999999999</v>
      </c>
      <c r="N14" s="291">
        <f>M14/L14*100</f>
        <v>101.02546913580245</v>
      </c>
      <c r="O14" s="291">
        <f t="shared" ref="O14:O29" si="4">R14+U14+X14+AA14</f>
        <v>286.77</v>
      </c>
      <c r="P14" s="291">
        <f t="shared" ref="P14:P29" si="5">S14+V14+Y14+AB14</f>
        <v>339.03285</v>
      </c>
      <c r="Q14" s="291"/>
      <c r="R14" s="291">
        <f>Але!C8</f>
        <v>106.965</v>
      </c>
      <c r="S14" s="291">
        <f>Але!D8</f>
        <v>169.95956000000001</v>
      </c>
      <c r="T14" s="291">
        <f>S14/R14*100</f>
        <v>158.8926845229748</v>
      </c>
      <c r="U14" s="291">
        <f>Але!C9</f>
        <v>1.147</v>
      </c>
      <c r="V14" s="291">
        <f>Але!D9</f>
        <v>0.91805000000000003</v>
      </c>
      <c r="W14" s="291">
        <f>V14/U14*100</f>
        <v>80.039232781168266</v>
      </c>
      <c r="X14" s="291">
        <f>Але!C10</f>
        <v>178.65799999999999</v>
      </c>
      <c r="Y14" s="291">
        <f>Але!D10</f>
        <v>187.65454</v>
      </c>
      <c r="Z14" s="291">
        <f>Y14/X14*100</f>
        <v>105.03562113087577</v>
      </c>
      <c r="AA14" s="291">
        <f>Але!C11</f>
        <v>0</v>
      </c>
      <c r="AB14" s="295">
        <f>Але!D11</f>
        <v>-19.499300000000002</v>
      </c>
      <c r="AC14" s="291" t="e">
        <f>AB14/AA14*100</f>
        <v>#DIV/0!</v>
      </c>
      <c r="AD14" s="296">
        <f>Але!C13</f>
        <v>10</v>
      </c>
      <c r="AE14" s="381">
        <f>Але!D13</f>
        <v>0</v>
      </c>
      <c r="AF14" s="291">
        <f>AE14/AD14*100</f>
        <v>0</v>
      </c>
      <c r="AG14" s="296">
        <f>Але!C15</f>
        <v>86</v>
      </c>
      <c r="AH14" s="297">
        <f>Але!D15</f>
        <v>68.343940000000003</v>
      </c>
      <c r="AI14" s="291">
        <f>AH14/AG14*100</f>
        <v>79.469697674418597</v>
      </c>
      <c r="AJ14" s="296">
        <f>Але!C16</f>
        <v>147</v>
      </c>
      <c r="AK14" s="296">
        <f>Але!D16</f>
        <v>142.96259000000001</v>
      </c>
      <c r="AL14" s="291">
        <f t="shared" ref="AL14:AL29" si="6">AK14/AJ14*100</f>
        <v>97.253462585034029</v>
      </c>
      <c r="AM14" s="291">
        <f>Але!C18</f>
        <v>3</v>
      </c>
      <c r="AN14" s="291">
        <f>Але!D18</f>
        <v>1.1000000000000001</v>
      </c>
      <c r="AO14" s="291">
        <f>AN14/AM14*100</f>
        <v>36.666666666666671</v>
      </c>
      <c r="AP14" s="291"/>
      <c r="AQ14" s="291"/>
      <c r="AR14" s="298" t="e">
        <f t="shared" ref="AR14:AR23" si="7">AQ14/AP14*100</f>
        <v>#DIV/0!</v>
      </c>
      <c r="AS14" s="296">
        <v>0</v>
      </c>
      <c r="AT14" s="296">
        <v>0</v>
      </c>
      <c r="AU14" s="298" t="e">
        <f t="shared" ref="AU14:AU29" si="8">AT14/AS14*100</f>
        <v>#DIV/0!</v>
      </c>
      <c r="AV14" s="296">
        <f>Але!C27</f>
        <v>50</v>
      </c>
      <c r="AW14" s="299">
        <f>Але!D27</f>
        <v>54.284680000000002</v>
      </c>
      <c r="AX14" s="291">
        <f>AW14/AV14*100</f>
        <v>108.56935999999999</v>
      </c>
      <c r="AY14" s="300">
        <f>Але!C28</f>
        <v>0</v>
      </c>
      <c r="AZ14" s="299">
        <f>Але!D28</f>
        <v>0</v>
      </c>
      <c r="BA14" s="291" t="e">
        <f>AZ14/AY14*100</f>
        <v>#DIV/0!</v>
      </c>
      <c r="BB14" s="296"/>
      <c r="BC14" s="296"/>
      <c r="BD14" s="291" t="e">
        <f>BC14/BB14*100</f>
        <v>#DIV/0!</v>
      </c>
      <c r="BE14" s="291">
        <f>Але!C29</f>
        <v>0</v>
      </c>
      <c r="BF14" s="301">
        <f>Але!D29</f>
        <v>0.35255999999999998</v>
      </c>
      <c r="BG14" s="291" t="e">
        <f>BF14/BE14*100</f>
        <v>#DIV/0!</v>
      </c>
      <c r="BH14" s="291">
        <f>Але!C30</f>
        <v>0</v>
      </c>
      <c r="BI14" s="291">
        <f>Але!D30</f>
        <v>0.35255999999999998</v>
      </c>
      <c r="BJ14" s="291" t="e">
        <f>BI14/BH14*100</f>
        <v>#DIV/0!</v>
      </c>
      <c r="BK14" s="291">
        <f>Але!C32</f>
        <v>0</v>
      </c>
      <c r="BL14" s="291">
        <f>Але!D31</f>
        <v>0</v>
      </c>
      <c r="BM14" s="291" t="e">
        <f>BL14/BK14*100</f>
        <v>#DIV/0!</v>
      </c>
      <c r="BN14" s="291"/>
      <c r="BO14" s="291"/>
      <c r="BP14" s="291" t="e">
        <f>BO14/BN14*100</f>
        <v>#DIV/0!</v>
      </c>
      <c r="BQ14" s="291"/>
      <c r="BR14" s="291"/>
      <c r="BS14" s="291"/>
      <c r="BT14" s="291"/>
      <c r="BU14" s="302"/>
      <c r="BV14" s="291" t="e">
        <f>BU14/BT14*100</f>
        <v>#DIV/0!</v>
      </c>
      <c r="BW14" s="291">
        <f>Але!C34</f>
        <v>434.851</v>
      </c>
      <c r="BX14" s="291">
        <f>Але!D36</f>
        <v>440.94099999999997</v>
      </c>
      <c r="BY14" s="291">
        <f>BX14/BW14*100</f>
        <v>101.40047970454246</v>
      </c>
      <c r="BZ14" s="291"/>
      <c r="CA14" s="291"/>
      <c r="CB14" s="303" t="e">
        <f>BZ14/CA14*100</f>
        <v>#DIV/0!</v>
      </c>
      <c r="CC14" s="303"/>
      <c r="CD14" s="303"/>
      <c r="CE14" s="303" t="e">
        <f>CC14/CD14*100</f>
        <v>#DIV/0!</v>
      </c>
      <c r="CF14" s="296">
        <f>CI14+CL14+CO14+CR14+CX14+CU14</f>
        <v>6035.02927</v>
      </c>
      <c r="CG14" s="296">
        <f>CJ14+CM14+CP14+CS14+CY14+CV14+DB14</f>
        <v>6035.02927</v>
      </c>
      <c r="CH14" s="291">
        <f>CG14/CF14*100</f>
        <v>100</v>
      </c>
      <c r="CI14" s="298">
        <f>Але!C39</f>
        <v>1839.6</v>
      </c>
      <c r="CJ14" s="298">
        <f>Але!D39</f>
        <v>1839.6</v>
      </c>
      <c r="CK14" s="291">
        <f>CJ14/CI14*100</f>
        <v>100</v>
      </c>
      <c r="CL14" s="291">
        <f>Але!C40</f>
        <v>0</v>
      </c>
      <c r="CM14" s="388">
        <f>Але!D40</f>
        <v>0</v>
      </c>
      <c r="CN14" s="291" t="e">
        <f>CM14/CL14*100</f>
        <v>#DIV/0!</v>
      </c>
      <c r="CO14" s="291">
        <f>Але!C41</f>
        <v>2800.9644899999998</v>
      </c>
      <c r="CP14" s="291">
        <f>Але!D41</f>
        <v>2800.9644899999998</v>
      </c>
      <c r="CQ14" s="291">
        <f t="shared" ref="CQ14:CQ29" si="9">CP14/CO14*100</f>
        <v>100</v>
      </c>
      <c r="CR14" s="291">
        <f>Але!C42</f>
        <v>108.54452999999999</v>
      </c>
      <c r="CS14" s="291">
        <f>Але!D42</f>
        <v>108.54452999999999</v>
      </c>
      <c r="CT14" s="291">
        <f t="shared" ref="CT14:CT31" si="10">CS14/CR14*100</f>
        <v>100</v>
      </c>
      <c r="CU14" s="291">
        <f>Але!C44</f>
        <v>1285.9202499999999</v>
      </c>
      <c r="CV14" s="291">
        <f>Але!D44</f>
        <v>1285.9202499999999</v>
      </c>
      <c r="CW14" s="291">
        <f>CV14/CU14*100</f>
        <v>100</v>
      </c>
      <c r="CX14" s="295">
        <f>Але!C43</f>
        <v>0</v>
      </c>
      <c r="CY14" s="291">
        <f>Але!D43</f>
        <v>0</v>
      </c>
      <c r="CZ14" s="291" t="e">
        <f t="shared" ref="CZ14:CZ31" si="11">CY14/CX14*100</f>
        <v>#DIV/0!</v>
      </c>
      <c r="DA14" s="291"/>
      <c r="DB14" s="291">
        <f>Але!D45</f>
        <v>0</v>
      </c>
      <c r="DC14" s="291" t="e">
        <f>DB13:DB14/DA14*100</f>
        <v>#DIV/0!</v>
      </c>
      <c r="DD14" s="296"/>
      <c r="DE14" s="296"/>
      <c r="DF14" s="291" t="e">
        <f>DE14/DD14*100</f>
        <v>#DIV/0!</v>
      </c>
      <c r="DG14" s="291"/>
      <c r="DH14" s="291"/>
      <c r="DI14" s="291"/>
      <c r="DJ14" s="291"/>
      <c r="DK14" s="291"/>
      <c r="DL14" s="291"/>
      <c r="DM14" s="300">
        <f>DP14+EE14+EH14+EK14+EN14+EQ14+ET14+EW14+EZ14</f>
        <v>7895.2142299999996</v>
      </c>
      <c r="DN14" s="300">
        <f>DQ14+EF14+EI14+EL14+EO14+ER14+EU14+EX14+FA14</f>
        <v>7712.6722000000009</v>
      </c>
      <c r="DO14" s="291">
        <f>DN14/DM14*100</f>
        <v>97.687940761551715</v>
      </c>
      <c r="DP14" s="296">
        <f>DS14+DV14+DY14+EB14</f>
        <v>1412.83718</v>
      </c>
      <c r="DQ14" s="296">
        <f>DT14+DW14+DZ14+EC14</f>
        <v>1397.4266400000001</v>
      </c>
      <c r="DR14" s="291">
        <f>DQ14/DP14*100</f>
        <v>98.909248693469422</v>
      </c>
      <c r="DS14" s="291">
        <f>Але!C54</f>
        <v>1409.1871799999999</v>
      </c>
      <c r="DT14" s="291">
        <f>Але!D54</f>
        <v>1394.77664</v>
      </c>
      <c r="DU14" s="291">
        <f>DT14/DS14*100</f>
        <v>98.977386382410899</v>
      </c>
      <c r="DV14" s="291">
        <f>Але!C57</f>
        <v>0</v>
      </c>
      <c r="DW14" s="291">
        <f>Але!D57</f>
        <v>0</v>
      </c>
      <c r="DX14" s="291" t="e">
        <f>DW14/DV14*100</f>
        <v>#DIV/0!</v>
      </c>
      <c r="DY14" s="291">
        <f>Але!C58</f>
        <v>1</v>
      </c>
      <c r="DZ14" s="291">
        <f>Але!D58</f>
        <v>0</v>
      </c>
      <c r="EA14" s="291">
        <f>DZ14/DY14*100</f>
        <v>0</v>
      </c>
      <c r="EB14" s="291">
        <f>Але!C59</f>
        <v>2.65</v>
      </c>
      <c r="EC14" s="291">
        <f>Але!D59</f>
        <v>2.65</v>
      </c>
      <c r="ED14" s="291">
        <f>EC14/EB14*100</f>
        <v>100</v>
      </c>
      <c r="EE14" s="291">
        <f>Але!C61</f>
        <v>108.54452999999999</v>
      </c>
      <c r="EF14" s="291">
        <f>Але!D61</f>
        <v>108.54452999999999</v>
      </c>
      <c r="EG14" s="291">
        <f>EF14/EE14*100</f>
        <v>100</v>
      </c>
      <c r="EH14" s="291">
        <f>Але!C62</f>
        <v>18</v>
      </c>
      <c r="EI14" s="291">
        <f>Але!D62</f>
        <v>17.321960000000001</v>
      </c>
      <c r="EJ14" s="291">
        <f>EI14/EH14*100</f>
        <v>96.233111111111114</v>
      </c>
      <c r="EK14" s="296">
        <f>Але!C68</f>
        <v>851.65995999999996</v>
      </c>
      <c r="EL14" s="296">
        <f>Але!D68</f>
        <v>760.86120000000005</v>
      </c>
      <c r="EM14" s="291">
        <f>EL14/EK14*100</f>
        <v>89.338613500157976</v>
      </c>
      <c r="EN14" s="296">
        <f>Але!C73</f>
        <v>5212.0375599999998</v>
      </c>
      <c r="EO14" s="296">
        <f>Але!D73</f>
        <v>5136.3828700000004</v>
      </c>
      <c r="EP14" s="291">
        <f>EO14/EN14*100</f>
        <v>98.548462302332311</v>
      </c>
      <c r="EQ14" s="296">
        <f>Але!C77</f>
        <v>286.60000000000002</v>
      </c>
      <c r="ER14" s="304">
        <f>Але!D77</f>
        <v>286.60000000000002</v>
      </c>
      <c r="ES14" s="291">
        <f t="shared" ref="ES14:ES29" si="12">ER14/EQ14*100</f>
        <v>100</v>
      </c>
      <c r="ET14" s="291">
        <f>Але!C79</f>
        <v>0</v>
      </c>
      <c r="EU14" s="291">
        <f>Але!D79</f>
        <v>0</v>
      </c>
      <c r="EV14" s="291" t="e">
        <f t="shared" ref="EV14:EV29" si="13">EU14/ET14*100</f>
        <v>#DIV/0!</v>
      </c>
      <c r="EW14" s="292">
        <f>Але!C84</f>
        <v>5.5350000000000001</v>
      </c>
      <c r="EX14" s="292">
        <f>Але!D84</f>
        <v>5.5350000000000001</v>
      </c>
      <c r="EY14" s="291">
        <f>EX14/EW14*100</f>
        <v>100</v>
      </c>
      <c r="EZ14" s="291">
        <f>Але!C90</f>
        <v>0</v>
      </c>
      <c r="FA14" s="291">
        <f>Але!D90</f>
        <v>0</v>
      </c>
      <c r="FB14" s="291" t="e">
        <f>FA14/EZ14*100</f>
        <v>#DIV/0!</v>
      </c>
      <c r="FC14" s="418">
        <f t="shared" ref="FC14:FC29" si="14">SUM(C14-DM14)</f>
        <v>-761.5639599999995</v>
      </c>
      <c r="FD14" s="418">
        <f t="shared" ref="FD14:FD29" si="15">SUM(D14-DN14)</f>
        <v>-548.79468000000088</v>
      </c>
      <c r="FE14" s="291">
        <f>FD14/FC14*100%</f>
        <v>0.72061535054784009</v>
      </c>
      <c r="FF14" s="159"/>
      <c r="FG14" s="160"/>
      <c r="FI14" s="160"/>
    </row>
    <row r="15" spans="1:165" s="161" customFormat="1" ht="22.5" customHeight="1">
      <c r="A15" s="331">
        <v>2</v>
      </c>
      <c r="B15" s="333" t="s">
        <v>283</v>
      </c>
      <c r="C15" s="289">
        <f t="shared" ref="C15:C29" si="16">F15+CF15</f>
        <v>59182.848760000001</v>
      </c>
      <c r="D15" s="290">
        <f>G15+CG15+DE15</f>
        <v>39002.106550000004</v>
      </c>
      <c r="E15" s="298">
        <f t="shared" si="1"/>
        <v>65.901029381269694</v>
      </c>
      <c r="F15" s="292">
        <f t="shared" ref="F15:F29" si="17">L15+AD15+AG15+AJ15+AM15+AS15+AY15+BK15+BW15+BT15+AP15+BE15+R15+X15+U15+AA15+AV15</f>
        <v>3972.4</v>
      </c>
      <c r="G15" s="292">
        <f>M15+AE15+AH15+AK15+AN15+AT15+AZ15+BL15+AQ15+BX15+BU15+BF15+S15+Y15+V15+AB15+AW15</f>
        <v>6686.2258999999995</v>
      </c>
      <c r="H15" s="298">
        <f t="shared" ref="H15:H29" si="18">G15/F15*100</f>
        <v>168.31703504178833</v>
      </c>
      <c r="I15" s="291">
        <f t="shared" ref="I15:I29" si="19">L15+R15+U15+X15+AA15+AD15+AG15+AJ15+AM15</f>
        <v>3692.3999999999996</v>
      </c>
      <c r="J15" s="298"/>
      <c r="K15" s="298"/>
      <c r="L15" s="305">
        <f>Сун!C6</f>
        <v>396</v>
      </c>
      <c r="M15" s="383">
        <f>Сун!D6</f>
        <v>1142.71928</v>
      </c>
      <c r="N15" s="298">
        <f t="shared" ref="N15:N29" si="20">M15/L15*100</f>
        <v>288.56547474747475</v>
      </c>
      <c r="O15" s="291">
        <f t="shared" si="4"/>
        <v>823.39999999999986</v>
      </c>
      <c r="P15" s="291">
        <f t="shared" si="5"/>
        <v>973.46062999999992</v>
      </c>
      <c r="Q15" s="298"/>
      <c r="R15" s="298">
        <f>Сун!C8</f>
        <v>307.12799999999999</v>
      </c>
      <c r="S15" s="298">
        <f>Сун!D8</f>
        <v>488.0027</v>
      </c>
      <c r="T15" s="291">
        <f t="shared" ref="T15:T29" si="21">S15/R15*100</f>
        <v>158.89228595243679</v>
      </c>
      <c r="U15" s="291">
        <f>Сун!C9</f>
        <v>3.294</v>
      </c>
      <c r="V15" s="291">
        <f>Сун!D9</f>
        <v>2.63592</v>
      </c>
      <c r="W15" s="291">
        <f t="shared" ref="W15:W29" si="22">V15/U15*100</f>
        <v>80.021857923497265</v>
      </c>
      <c r="X15" s="291">
        <f>Сун!C10</f>
        <v>512.97799999999995</v>
      </c>
      <c r="Y15" s="291">
        <f>Сун!D10</f>
        <v>538.81007999999997</v>
      </c>
      <c r="Z15" s="291">
        <f t="shared" ref="Z15:Z29" si="23">Y15/X15*100</f>
        <v>105.03570913372504</v>
      </c>
      <c r="AA15" s="291">
        <f>Сун!C11</f>
        <v>0</v>
      </c>
      <c r="AB15" s="295">
        <f>Сун!D11</f>
        <v>-55.98807</v>
      </c>
      <c r="AC15" s="291" t="e">
        <f t="shared" ref="AC15:AC29" si="24">AB15/AA15*100</f>
        <v>#DIV/0!</v>
      </c>
      <c r="AD15" s="305">
        <f>Сун!C13</f>
        <v>45</v>
      </c>
      <c r="AE15" s="305">
        <f>Сун!D13</f>
        <v>42.506970000000003</v>
      </c>
      <c r="AF15" s="298">
        <f t="shared" ref="AF15:AF29" si="25">AE15/AD15*100</f>
        <v>94.459933333333339</v>
      </c>
      <c r="AG15" s="305">
        <f>Сун!C15</f>
        <v>1023</v>
      </c>
      <c r="AH15" s="297">
        <f>Сун!D15</f>
        <v>1140.8601699999999</v>
      </c>
      <c r="AI15" s="298">
        <f t="shared" ref="AI15:AI29" si="26">AH15/AG15*100</f>
        <v>111.52103323558163</v>
      </c>
      <c r="AJ15" s="305">
        <f>Сун!C16</f>
        <v>1395</v>
      </c>
      <c r="AK15" s="305">
        <f>Сун!D16</f>
        <v>1677.9716900000001</v>
      </c>
      <c r="AL15" s="298">
        <f t="shared" si="6"/>
        <v>120.28470896057348</v>
      </c>
      <c r="AM15" s="298">
        <f>Сун!C18</f>
        <v>10</v>
      </c>
      <c r="AN15" s="298">
        <f>Сун!D18</f>
        <v>8.17</v>
      </c>
      <c r="AO15" s="298">
        <f t="shared" ref="AO15:AO31" si="27">AN15/AM15*100</f>
        <v>81.699999999999989</v>
      </c>
      <c r="AP15" s="298"/>
      <c r="AQ15" s="298"/>
      <c r="AR15" s="298" t="e">
        <f t="shared" si="7"/>
        <v>#DIV/0!</v>
      </c>
      <c r="AS15" s="305">
        <f>Сун!C27</f>
        <v>0</v>
      </c>
      <c r="AT15" s="305">
        <f>Сун!D27</f>
        <v>0</v>
      </c>
      <c r="AU15" s="298" t="e">
        <f t="shared" si="8"/>
        <v>#DIV/0!</v>
      </c>
      <c r="AV15" s="305">
        <f>Сун!C28</f>
        <v>200</v>
      </c>
      <c r="AW15" s="306">
        <f>Сун!D28</f>
        <v>221</v>
      </c>
      <c r="AX15" s="298">
        <f t="shared" ref="AX15:AX29" si="28">AW15/AV15*100</f>
        <v>110.5</v>
      </c>
      <c r="AY15" s="300">
        <f>Сун!C29</f>
        <v>50</v>
      </c>
      <c r="AZ15" s="306">
        <f>Сун!D29</f>
        <v>37.503</v>
      </c>
      <c r="BA15" s="298">
        <f t="shared" ref="BA15:BA29" si="29">AZ15/AY15*100</f>
        <v>75.006</v>
      </c>
      <c r="BB15" s="305"/>
      <c r="BC15" s="305"/>
      <c r="BD15" s="298" t="e">
        <f t="shared" ref="BD15:BD29" si="30">BC15/BB15*100</f>
        <v>#DIV/0!</v>
      </c>
      <c r="BE15" s="298">
        <f>Сун!C31</f>
        <v>30</v>
      </c>
      <c r="BF15" s="301">
        <f>SUM(Сун!D30)</f>
        <v>165.45399</v>
      </c>
      <c r="BG15" s="298">
        <f t="shared" ref="BG15:BG31" si="31">BF15/BE15*100</f>
        <v>551.51330000000007</v>
      </c>
      <c r="BH15" s="298"/>
      <c r="BI15" s="298"/>
      <c r="BJ15" s="298"/>
      <c r="BK15" s="298">
        <f>Сун!C33</f>
        <v>0</v>
      </c>
      <c r="BL15" s="298">
        <f>Сун!D33</f>
        <v>1132.1469999999999</v>
      </c>
      <c r="BM15" s="298" t="e">
        <f t="shared" ref="BM15:BM31" si="32">BL15/BK15*100</f>
        <v>#DIV/0!</v>
      </c>
      <c r="BN15" s="298"/>
      <c r="BO15" s="298"/>
      <c r="BP15" s="298" t="e">
        <f t="shared" ref="BP15:BP29" si="33">BO15/BN15*100</f>
        <v>#DIV/0!</v>
      </c>
      <c r="BQ15" s="298">
        <f>Сун!C36</f>
        <v>0</v>
      </c>
      <c r="BR15" s="298">
        <f>Сун!D36</f>
        <v>144.43316999999999</v>
      </c>
      <c r="BS15" s="298"/>
      <c r="BT15" s="298">
        <f>Сун!C36</f>
        <v>0</v>
      </c>
      <c r="BU15" s="298">
        <f>Сун!D36</f>
        <v>144.43316999999999</v>
      </c>
      <c r="BV15" s="291" t="e">
        <f t="shared" ref="BV15:BV29" si="34">BU15/BT15*100</f>
        <v>#DIV/0!</v>
      </c>
      <c r="BW15" s="298">
        <f>Сун!C38</f>
        <v>0</v>
      </c>
      <c r="BX15" s="298">
        <f>Сун!D38</f>
        <v>0</v>
      </c>
      <c r="BY15" s="298" t="e">
        <f t="shared" ref="BY15:BY29" si="35">BX15/BW15*100</f>
        <v>#DIV/0!</v>
      </c>
      <c r="BZ15" s="298"/>
      <c r="CA15" s="298"/>
      <c r="CB15" s="307" t="e">
        <f t="shared" ref="CB15:CB29" si="36">BZ15/CA15*100</f>
        <v>#DIV/0!</v>
      </c>
      <c r="CC15" s="307"/>
      <c r="CD15" s="307"/>
      <c r="CE15" s="307" t="e">
        <f t="shared" ref="CE15:CE29" si="37">CC15/CD15*100</f>
        <v>#DIV/0!</v>
      </c>
      <c r="CF15" s="296">
        <f t="shared" ref="CF15:CF29" si="38">CI15+CL15+CO15+CR15+CX15+CU15</f>
        <v>55210.448759999999</v>
      </c>
      <c r="CG15" s="296">
        <f t="shared" ref="CG15:CG29" si="39">CJ15+CM15+CP15+CS15+CY15+CV15+DB15</f>
        <v>32315.880650000003</v>
      </c>
      <c r="CH15" s="298">
        <f>CG15/CF15*100</f>
        <v>58.532182541165788</v>
      </c>
      <c r="CI15" s="298">
        <f>Сун!C43</f>
        <v>5604.2</v>
      </c>
      <c r="CJ15" s="298">
        <f>Сун!D43</f>
        <v>5604.2</v>
      </c>
      <c r="CK15" s="298">
        <f t="shared" ref="CK15:CK29" si="40">CJ15/CI15*100</f>
        <v>100</v>
      </c>
      <c r="CL15" s="298">
        <f>Сун!C44</f>
        <v>0</v>
      </c>
      <c r="CM15" s="389">
        <f>Сун!D44</f>
        <v>0</v>
      </c>
      <c r="CN15" s="298" t="e">
        <f t="shared" ref="CN15:CN29" si="41">CM15/CL15*100</f>
        <v>#DIV/0!</v>
      </c>
      <c r="CO15" s="308">
        <f>Сун!C45</f>
        <v>47116.958250000003</v>
      </c>
      <c r="CP15" s="298">
        <f>Сун!D45</f>
        <v>25825.013040000002</v>
      </c>
      <c r="CQ15" s="298">
        <f t="shared" si="9"/>
        <v>54.810441928305075</v>
      </c>
      <c r="CR15" s="298">
        <f>Сун!C47</f>
        <v>309.01751000000002</v>
      </c>
      <c r="CS15" s="298">
        <f>Сун!D47</f>
        <v>309.01751000000002</v>
      </c>
      <c r="CT15" s="298">
        <f t="shared" si="10"/>
        <v>100</v>
      </c>
      <c r="CU15" s="298">
        <f>Сун!C48</f>
        <v>2180.2730000000001</v>
      </c>
      <c r="CV15" s="298">
        <f>Сун!D48</f>
        <v>577.65009999999995</v>
      </c>
      <c r="CW15" s="291">
        <f t="shared" ref="CW15:CW29" si="42">CV15/CU15*100</f>
        <v>26.49439313333697</v>
      </c>
      <c r="CX15" s="309">
        <f>Сун!C49</f>
        <v>0</v>
      </c>
      <c r="CY15" s="298">
        <f>Сун!D49</f>
        <v>0</v>
      </c>
      <c r="CZ15" s="298" t="e">
        <f t="shared" si="11"/>
        <v>#DIV/0!</v>
      </c>
      <c r="DA15" s="298"/>
      <c r="DB15" s="298"/>
      <c r="DC15" s="298"/>
      <c r="DD15" s="305"/>
      <c r="DE15" s="305"/>
      <c r="DF15" s="298" t="e">
        <f t="shared" ref="DF15:DF29" si="43">DE15/DD15*100</f>
        <v>#DIV/0!</v>
      </c>
      <c r="DG15" s="298"/>
      <c r="DH15" s="298"/>
      <c r="DI15" s="298"/>
      <c r="DJ15" s="298"/>
      <c r="DK15" s="298"/>
      <c r="DL15" s="298"/>
      <c r="DM15" s="300">
        <f>DP15+EE15+EH15+EK15+EN15+EQ15+ET15+EW15+EZ15</f>
        <v>60977.588550000008</v>
      </c>
      <c r="DN15" s="300">
        <f t="shared" ref="DM15:DN29" si="44">DQ15+EF15+EI15+EL15+EO15+ER15+EU15+EX15+FA15</f>
        <v>37072.41648</v>
      </c>
      <c r="DO15" s="298">
        <f t="shared" ref="DO15:DO29" si="45">DN15/DM15*100</f>
        <v>60.796790036394434</v>
      </c>
      <c r="DP15" s="305">
        <f>DS15+DV15+DY15+EB15</f>
        <v>2166.48621</v>
      </c>
      <c r="DQ15" s="305">
        <f t="shared" ref="DP15:DQ29" si="46">DT15+DW15+DZ15+EC15</f>
        <v>1969.2427499999999</v>
      </c>
      <c r="DR15" s="298">
        <f t="shared" ref="DR15:DR29" si="47">DQ15/DP15*100</f>
        <v>90.895697415955397</v>
      </c>
      <c r="DS15" s="298">
        <f>Сун!C60</f>
        <v>2123.1742100000001</v>
      </c>
      <c r="DT15" s="298">
        <f>Сун!D60</f>
        <v>1956.93075</v>
      </c>
      <c r="DU15" s="298">
        <f t="shared" ref="DU15:DU29" si="48">DT15/DS15*100</f>
        <v>92.170050897519147</v>
      </c>
      <c r="DV15" s="298">
        <f>Сун!C63</f>
        <v>0</v>
      </c>
      <c r="DW15" s="298">
        <f>Сун!D63</f>
        <v>0</v>
      </c>
      <c r="DX15" s="298" t="e">
        <f t="shared" ref="DX15:DX29" si="49">DW15/DV15*100</f>
        <v>#DIV/0!</v>
      </c>
      <c r="DY15" s="298">
        <f>Сун!C64</f>
        <v>1</v>
      </c>
      <c r="DZ15" s="298">
        <f>Сун!D64</f>
        <v>0</v>
      </c>
      <c r="EA15" s="298">
        <f t="shared" ref="EA15:EA29" si="50">DZ15/DY15*100</f>
        <v>0</v>
      </c>
      <c r="EB15" s="298">
        <f>Сун!C65</f>
        <v>42.311999999999998</v>
      </c>
      <c r="EC15" s="298">
        <f>Сун!D65</f>
        <v>12.311999999999999</v>
      </c>
      <c r="ED15" s="298">
        <f t="shared" ref="ED15:ED29" si="51">EC15/EB15*100</f>
        <v>29.098128190584234</v>
      </c>
      <c r="EE15" s="298">
        <f>Сун!C67</f>
        <v>273.28600999999998</v>
      </c>
      <c r="EF15" s="298">
        <f>Сун!D67</f>
        <v>273.28600999999998</v>
      </c>
      <c r="EG15" s="298">
        <f t="shared" ref="EG15:EG31" si="52">EF15/EE15*100</f>
        <v>100</v>
      </c>
      <c r="EH15" s="298">
        <f>Сун!C68</f>
        <v>16.631340000000002</v>
      </c>
      <c r="EI15" s="298">
        <f>Сун!D68</f>
        <v>16.631340000000002</v>
      </c>
      <c r="EJ15" s="298">
        <f t="shared" ref="EJ15:EJ31" si="53">EI15/EH15*100</f>
        <v>100</v>
      </c>
      <c r="EK15" s="305">
        <f>Сун!C74</f>
        <v>2844.9801499999999</v>
      </c>
      <c r="EL15" s="305">
        <f>Сун!D74</f>
        <v>2513.65515</v>
      </c>
      <c r="EM15" s="298">
        <f t="shared" ref="EM15:EM29" si="54">EL15/EK15*100</f>
        <v>88.354048797141886</v>
      </c>
      <c r="EN15" s="305">
        <f>Сун!C79</f>
        <v>52464.654540000003</v>
      </c>
      <c r="EO15" s="305">
        <f>Сун!D79</f>
        <v>29146.558089999999</v>
      </c>
      <c r="EP15" s="298">
        <f t="shared" ref="EP15:EP29" si="55">EO15/EN15*100</f>
        <v>55.554655501978253</v>
      </c>
      <c r="EQ15" s="305">
        <f>Сун!C84</f>
        <v>3211.5502999999999</v>
      </c>
      <c r="ER15" s="310">
        <f>Сун!D84</f>
        <v>3153.0431400000002</v>
      </c>
      <c r="ES15" s="298">
        <f t="shared" si="12"/>
        <v>98.178226883134926</v>
      </c>
      <c r="ET15" s="298">
        <f>Сун!C87</f>
        <v>0</v>
      </c>
      <c r="EU15" s="298">
        <f>Сун!D87</f>
        <v>0</v>
      </c>
      <c r="EV15" s="298" t="e">
        <f t="shared" si="13"/>
        <v>#DIV/0!</v>
      </c>
      <c r="EW15" s="311">
        <f>Сун!C92</f>
        <v>0</v>
      </c>
      <c r="EX15" s="311">
        <f>Сун!D92</f>
        <v>0</v>
      </c>
      <c r="EY15" s="298" t="e">
        <f t="shared" ref="EY15:EY29" si="56">EX15/EW15*100</f>
        <v>#DIV/0!</v>
      </c>
      <c r="EZ15" s="298">
        <f>Сун!C98</f>
        <v>0</v>
      </c>
      <c r="FA15" s="298">
        <f>Сун!D98</f>
        <v>0</v>
      </c>
      <c r="FB15" s="291" t="e">
        <f>FA15/EZ15*100</f>
        <v>#DIV/0!</v>
      </c>
      <c r="FC15" s="418">
        <f t="shared" si="14"/>
        <v>-1794.7397900000069</v>
      </c>
      <c r="FD15" s="418">
        <f t="shared" si="15"/>
        <v>1929.6900700000042</v>
      </c>
      <c r="FE15" s="291">
        <f>FD15/FC15*100%</f>
        <v>-1.0751921146184633</v>
      </c>
      <c r="FF15" s="159"/>
      <c r="FG15" s="160"/>
      <c r="FI15" s="160"/>
    </row>
    <row r="16" spans="1:165" s="157" customFormat="1" ht="25.5" customHeight="1">
      <c r="A16" s="331">
        <v>3</v>
      </c>
      <c r="B16" s="333" t="s">
        <v>284</v>
      </c>
      <c r="C16" s="312">
        <f t="shared" si="16"/>
        <v>18638.026560000002</v>
      </c>
      <c r="D16" s="290">
        <f t="shared" si="0"/>
        <v>17278.989310000001</v>
      </c>
      <c r="E16" s="298">
        <f t="shared" si="1"/>
        <v>92.7082556427047</v>
      </c>
      <c r="F16" s="292">
        <f t="shared" si="17"/>
        <v>3627.0881400000003</v>
      </c>
      <c r="G16" s="292">
        <f t="shared" si="3"/>
        <v>3559.9952499999999</v>
      </c>
      <c r="H16" s="298">
        <f t="shared" si="18"/>
        <v>98.150227195747149</v>
      </c>
      <c r="I16" s="291">
        <f t="shared" si="19"/>
        <v>2207.9700000000003</v>
      </c>
      <c r="J16" s="298"/>
      <c r="K16" s="298"/>
      <c r="L16" s="313">
        <f>Иль!C6</f>
        <v>120</v>
      </c>
      <c r="M16" s="382">
        <f>Иль!D6</f>
        <v>65.119870000000006</v>
      </c>
      <c r="N16" s="298">
        <f t="shared" si="20"/>
        <v>54.266558333333336</v>
      </c>
      <c r="O16" s="291">
        <f t="shared" si="4"/>
        <v>777.97</v>
      </c>
      <c r="P16" s="291">
        <f t="shared" si="5"/>
        <v>919.75250999999992</v>
      </c>
      <c r="Q16" s="298"/>
      <c r="R16" s="298">
        <f>Иль!C8</f>
        <v>290.18299999999999</v>
      </c>
      <c r="S16" s="298">
        <f>Иль!D8</f>
        <v>461.07841000000002</v>
      </c>
      <c r="T16" s="291">
        <f t="shared" si="21"/>
        <v>158.89228865922541</v>
      </c>
      <c r="U16" s="291">
        <f>Иль!C9</f>
        <v>3.1120000000000001</v>
      </c>
      <c r="V16" s="291">
        <f>Иль!D9</f>
        <v>2.4905499999999998</v>
      </c>
      <c r="W16" s="291">
        <f t="shared" si="22"/>
        <v>80.030526992287903</v>
      </c>
      <c r="X16" s="291">
        <f>Иль!C10</f>
        <v>484.67500000000001</v>
      </c>
      <c r="Y16" s="291">
        <f>Иль!D10</f>
        <v>509.08262999999999</v>
      </c>
      <c r="Z16" s="291">
        <f t="shared" si="23"/>
        <v>105.03587558673337</v>
      </c>
      <c r="AA16" s="291">
        <f>Иль!C11</f>
        <v>0</v>
      </c>
      <c r="AB16" s="295">
        <f>Иль!D11</f>
        <v>-52.899079999999998</v>
      </c>
      <c r="AC16" s="291" t="e">
        <f t="shared" si="24"/>
        <v>#DIV/0!</v>
      </c>
      <c r="AD16" s="305">
        <f>Иль!C13</f>
        <v>10</v>
      </c>
      <c r="AE16" s="305">
        <f>Иль!D13</f>
        <v>2.7930000000000001</v>
      </c>
      <c r="AF16" s="298">
        <f t="shared" si="25"/>
        <v>27.93</v>
      </c>
      <c r="AG16" s="305">
        <f>Иль!C15</f>
        <v>406</v>
      </c>
      <c r="AH16" s="297">
        <f>Иль!D15</f>
        <v>463.41651000000002</v>
      </c>
      <c r="AI16" s="298">
        <f t="shared" si="26"/>
        <v>114.14199753694582</v>
      </c>
      <c r="AJ16" s="305">
        <f>Иль!C16</f>
        <v>890</v>
      </c>
      <c r="AK16" s="305">
        <f>Иль!D16</f>
        <v>831.42898000000002</v>
      </c>
      <c r="AL16" s="298">
        <f t="shared" si="6"/>
        <v>93.418986516853934</v>
      </c>
      <c r="AM16" s="298">
        <f>Иль!C18</f>
        <v>4</v>
      </c>
      <c r="AN16" s="298">
        <f>Иль!D18</f>
        <v>3.05</v>
      </c>
      <c r="AO16" s="298">
        <f t="shared" si="27"/>
        <v>76.25</v>
      </c>
      <c r="AP16" s="298"/>
      <c r="AQ16" s="298"/>
      <c r="AR16" s="298" t="e">
        <f t="shared" si="7"/>
        <v>#DIV/0!</v>
      </c>
      <c r="AS16" s="305">
        <f>Иль!C27</f>
        <v>0</v>
      </c>
      <c r="AT16" s="305">
        <f>Иль!D27</f>
        <v>0</v>
      </c>
      <c r="AU16" s="298" t="e">
        <f t="shared" si="8"/>
        <v>#DIV/0!</v>
      </c>
      <c r="AV16" s="305">
        <f>Иль!C28</f>
        <v>250</v>
      </c>
      <c r="AW16" s="306">
        <f>Иль!D28</f>
        <v>284.21055999999999</v>
      </c>
      <c r="AX16" s="298">
        <f t="shared" si="28"/>
        <v>113.684224</v>
      </c>
      <c r="AY16" s="300">
        <f>Иль!C29</f>
        <v>20</v>
      </c>
      <c r="AZ16" s="306">
        <f>Иль!D29</f>
        <v>46.207650000000001</v>
      </c>
      <c r="BA16" s="298">
        <f t="shared" si="29"/>
        <v>231.03825000000003</v>
      </c>
      <c r="BB16" s="305"/>
      <c r="BC16" s="305"/>
      <c r="BD16" s="298" t="e">
        <f t="shared" si="30"/>
        <v>#DIV/0!</v>
      </c>
      <c r="BE16" s="298">
        <f>Иль!C30</f>
        <v>30</v>
      </c>
      <c r="BF16" s="301">
        <f>Иль!D30</f>
        <v>85.460000000000008</v>
      </c>
      <c r="BG16" s="298">
        <f t="shared" si="31"/>
        <v>284.86666666666667</v>
      </c>
      <c r="BH16" s="298"/>
      <c r="BI16" s="298"/>
      <c r="BJ16" s="298"/>
      <c r="BK16" s="298">
        <f>Иль!C35</f>
        <v>0</v>
      </c>
      <c r="BL16" s="298">
        <f>SUM(Иль!D33)</f>
        <v>0</v>
      </c>
      <c r="BM16" s="298" t="e">
        <f t="shared" si="32"/>
        <v>#DIV/0!</v>
      </c>
      <c r="BN16" s="298"/>
      <c r="BO16" s="298"/>
      <c r="BP16" s="298" t="e">
        <f t="shared" si="33"/>
        <v>#DIV/0!</v>
      </c>
      <c r="BQ16" s="298"/>
      <c r="BR16" s="298"/>
      <c r="BS16" s="298"/>
      <c r="BT16" s="298">
        <f>Иль!C36</f>
        <v>82.901759999999996</v>
      </c>
      <c r="BU16" s="298">
        <f>Иль!D36</f>
        <v>85.202449999999999</v>
      </c>
      <c r="BV16" s="291">
        <f t="shared" si="34"/>
        <v>102.77520043000294</v>
      </c>
      <c r="BW16" s="298">
        <f>SUM(Иль!C39)</f>
        <v>1036.2163800000001</v>
      </c>
      <c r="BX16" s="298">
        <f>Иль!D39</f>
        <v>773.35371999999995</v>
      </c>
      <c r="BY16" s="298">
        <f t="shared" si="35"/>
        <v>74.632454661641219</v>
      </c>
      <c r="BZ16" s="298"/>
      <c r="CA16" s="298"/>
      <c r="CB16" s="307" t="e">
        <f t="shared" si="36"/>
        <v>#DIV/0!</v>
      </c>
      <c r="CC16" s="307"/>
      <c r="CD16" s="307"/>
      <c r="CE16" s="307" t="e">
        <f t="shared" si="37"/>
        <v>#DIV/0!</v>
      </c>
      <c r="CF16" s="296">
        <f>CI16+CL16+CO16+CR16+CX16+CU16</f>
        <v>15010.93842</v>
      </c>
      <c r="CG16" s="296">
        <f t="shared" si="39"/>
        <v>13718.994060000001</v>
      </c>
      <c r="CH16" s="298">
        <f>CG16/CF16*100</f>
        <v>91.393313836537615</v>
      </c>
      <c r="CI16" s="298">
        <f>Иль!C43</f>
        <v>2693</v>
      </c>
      <c r="CJ16" s="298">
        <f>Иль!D43</f>
        <v>2693</v>
      </c>
      <c r="CK16" s="298">
        <f t="shared" si="40"/>
        <v>100</v>
      </c>
      <c r="CL16" s="298">
        <f>Иль!C44</f>
        <v>0</v>
      </c>
      <c r="CM16" s="389">
        <f>Иль!D44</f>
        <v>0</v>
      </c>
      <c r="CN16" s="298" t="e">
        <f t="shared" si="41"/>
        <v>#DIV/0!</v>
      </c>
      <c r="CO16" s="291">
        <f>Иль!C45</f>
        <v>10312.837320000001</v>
      </c>
      <c r="CP16" s="298">
        <f>Иль!D45</f>
        <v>9111.3296599999994</v>
      </c>
      <c r="CQ16" s="298">
        <f t="shared" si="9"/>
        <v>88.349397719385323</v>
      </c>
      <c r="CR16" s="298">
        <f>Иль!C47</f>
        <v>126.63952</v>
      </c>
      <c r="CS16" s="298">
        <f>Иль!D47</f>
        <v>126.63952</v>
      </c>
      <c r="CT16" s="298">
        <f t="shared" si="10"/>
        <v>100</v>
      </c>
      <c r="CU16" s="298">
        <f>Иль!C48</f>
        <v>1878.4615799999999</v>
      </c>
      <c r="CV16" s="298">
        <f>Иль!D48</f>
        <v>1788.0248799999999</v>
      </c>
      <c r="CW16" s="291">
        <f t="shared" si="42"/>
        <v>95.185597567558446</v>
      </c>
      <c r="CX16" s="309">
        <f>Иль!C49</f>
        <v>0</v>
      </c>
      <c r="CY16" s="298">
        <f>Иль!D49</f>
        <v>0</v>
      </c>
      <c r="CZ16" s="298" t="e">
        <f t="shared" si="11"/>
        <v>#DIV/0!</v>
      </c>
      <c r="DA16" s="298"/>
      <c r="DB16" s="298"/>
      <c r="DC16" s="298"/>
      <c r="DD16" s="305"/>
      <c r="DE16" s="305"/>
      <c r="DF16" s="298" t="e">
        <f t="shared" si="43"/>
        <v>#DIV/0!</v>
      </c>
      <c r="DG16" s="298"/>
      <c r="DH16" s="298"/>
      <c r="DI16" s="298"/>
      <c r="DJ16" s="298"/>
      <c r="DK16" s="298"/>
      <c r="DL16" s="298">
        <v>0</v>
      </c>
      <c r="DM16" s="300">
        <f t="shared" si="44"/>
        <v>19744.993429999999</v>
      </c>
      <c r="DN16" s="300">
        <f t="shared" si="44"/>
        <v>17806.486950000002</v>
      </c>
      <c r="DO16" s="298">
        <f t="shared" si="45"/>
        <v>90.182288553944602</v>
      </c>
      <c r="DP16" s="305">
        <f t="shared" si="46"/>
        <v>1513.7356600000001</v>
      </c>
      <c r="DQ16" s="305">
        <f t="shared" si="46"/>
        <v>1451.2435</v>
      </c>
      <c r="DR16" s="298">
        <f t="shared" si="47"/>
        <v>95.871659652914559</v>
      </c>
      <c r="DS16" s="298">
        <f>Иль!C58</f>
        <v>1501.3076599999999</v>
      </c>
      <c r="DT16" s="298">
        <f>Иль!D58</f>
        <v>1439.8154999999999</v>
      </c>
      <c r="DU16" s="298">
        <f t="shared" si="48"/>
        <v>95.904093368843533</v>
      </c>
      <c r="DV16" s="298">
        <f>Иль!C61</f>
        <v>0</v>
      </c>
      <c r="DW16" s="298">
        <f>Иль!D61</f>
        <v>0</v>
      </c>
      <c r="DX16" s="298" t="e">
        <f t="shared" si="49"/>
        <v>#DIV/0!</v>
      </c>
      <c r="DY16" s="298">
        <f>Иль!C62</f>
        <v>1</v>
      </c>
      <c r="DZ16" s="298">
        <f>Иль!D62</f>
        <v>0</v>
      </c>
      <c r="EA16" s="298">
        <f t="shared" si="50"/>
        <v>0</v>
      </c>
      <c r="EB16" s="298">
        <f>Иль!C63</f>
        <v>11.428000000000001</v>
      </c>
      <c r="EC16" s="298">
        <f>Иль!D63</f>
        <v>11.428000000000001</v>
      </c>
      <c r="ED16" s="298">
        <f t="shared" si="51"/>
        <v>100</v>
      </c>
      <c r="EE16" s="298">
        <f>Иль!C65</f>
        <v>112.34692</v>
      </c>
      <c r="EF16" s="298">
        <f>Иль!D65</f>
        <v>112.34692</v>
      </c>
      <c r="EG16" s="298">
        <f t="shared" si="52"/>
        <v>100</v>
      </c>
      <c r="EH16" s="298">
        <f>Иль!C66</f>
        <v>27.511340000000001</v>
      </c>
      <c r="EI16" s="298">
        <f>Иль!D66</f>
        <v>27.511340000000001</v>
      </c>
      <c r="EJ16" s="298">
        <f t="shared" si="53"/>
        <v>100</v>
      </c>
      <c r="EK16" s="305">
        <f>Иль!C72</f>
        <v>10038.50814</v>
      </c>
      <c r="EL16" s="305">
        <f>Иль!D72</f>
        <v>9454.438180000001</v>
      </c>
      <c r="EM16" s="298">
        <f t="shared" si="54"/>
        <v>94.181705569648528</v>
      </c>
      <c r="EN16" s="305">
        <f>Иль!C79</f>
        <v>5947.4370499999995</v>
      </c>
      <c r="EO16" s="305">
        <f>Иль!D79</f>
        <v>4655.49269</v>
      </c>
      <c r="EP16" s="298">
        <f t="shared" si="55"/>
        <v>78.277292401102429</v>
      </c>
      <c r="EQ16" s="305">
        <f>Иль!C83</f>
        <v>2099.4523199999999</v>
      </c>
      <c r="ER16" s="310">
        <f>Иль!D83</f>
        <v>2099.4523199999999</v>
      </c>
      <c r="ES16" s="298">
        <f t="shared" si="12"/>
        <v>100</v>
      </c>
      <c r="ET16" s="298">
        <f>Иль!C85</f>
        <v>0</v>
      </c>
      <c r="EU16" s="298">
        <f>Иль!D85</f>
        <v>0</v>
      </c>
      <c r="EV16" s="298" t="e">
        <f t="shared" si="13"/>
        <v>#DIV/0!</v>
      </c>
      <c r="EW16" s="311">
        <f>Иль!C90</f>
        <v>6.0019999999999998</v>
      </c>
      <c r="EX16" s="311">
        <f>Иль!D90</f>
        <v>6.0019999999999998</v>
      </c>
      <c r="EY16" s="298">
        <f t="shared" si="56"/>
        <v>100</v>
      </c>
      <c r="EZ16" s="298">
        <f>Иль!C96</f>
        <v>0</v>
      </c>
      <c r="FA16" s="298">
        <f>Иль!D96</f>
        <v>0</v>
      </c>
      <c r="FB16" s="291" t="e">
        <f t="shared" ref="FB16:FB29" si="57">FA16/EZ16*100</f>
        <v>#DIV/0!</v>
      </c>
      <c r="FC16" s="418">
        <f t="shared" si="14"/>
        <v>-1106.9668699999966</v>
      </c>
      <c r="FD16" s="418">
        <f t="shared" si="15"/>
        <v>-527.49764000000141</v>
      </c>
      <c r="FE16" s="291">
        <f>FD16/FC16*100</f>
        <v>47.652522789593789</v>
      </c>
      <c r="FF16" s="159"/>
      <c r="FG16" s="160"/>
      <c r="FI16" s="160"/>
    </row>
    <row r="17" spans="1:176" s="157" customFormat="1" ht="22.5" customHeight="1">
      <c r="A17" s="331">
        <v>4</v>
      </c>
      <c r="B17" s="333" t="s">
        <v>285</v>
      </c>
      <c r="C17" s="312">
        <f t="shared" si="16"/>
        <v>12995.164870000001</v>
      </c>
      <c r="D17" s="290">
        <f t="shared" si="0"/>
        <v>14657.815819999998</v>
      </c>
      <c r="E17" s="298">
        <f t="shared" si="1"/>
        <v>112.79438134592898</v>
      </c>
      <c r="F17" s="292">
        <f t="shared" si="17"/>
        <v>6189.3122600000006</v>
      </c>
      <c r="G17" s="292">
        <f t="shared" si="3"/>
        <v>7851.963209999999</v>
      </c>
      <c r="H17" s="298">
        <f t="shared" si="18"/>
        <v>126.86325847130546</v>
      </c>
      <c r="I17" s="291">
        <f t="shared" si="19"/>
        <v>5123.3099999999995</v>
      </c>
      <c r="J17" s="298"/>
      <c r="K17" s="298"/>
      <c r="L17" s="305">
        <f>Кад!C6</f>
        <v>594</v>
      </c>
      <c r="M17" s="383">
        <f>Кад!D6</f>
        <v>769.03701000000001</v>
      </c>
      <c r="N17" s="298">
        <f t="shared" si="20"/>
        <v>129.46751010101011</v>
      </c>
      <c r="O17" s="291">
        <f t="shared" si="4"/>
        <v>971.31</v>
      </c>
      <c r="P17" s="291">
        <f t="shared" si="5"/>
        <v>1094.3040700000001</v>
      </c>
      <c r="Q17" s="298"/>
      <c r="R17" s="298">
        <f>Кад!C8</f>
        <v>390.95299999999997</v>
      </c>
      <c r="S17" s="298">
        <f>Кад!D8</f>
        <v>548.58234000000004</v>
      </c>
      <c r="T17" s="291">
        <f t="shared" si="21"/>
        <v>140.31925576731732</v>
      </c>
      <c r="U17" s="291">
        <f>Кад!C9</f>
        <v>3.702</v>
      </c>
      <c r="V17" s="291">
        <f>Кад!D9</f>
        <v>2.9632000000000001</v>
      </c>
      <c r="W17" s="291">
        <f t="shared" si="22"/>
        <v>80.043219881145333</v>
      </c>
      <c r="X17" s="291">
        <f>Кад!C10</f>
        <v>576.65499999999997</v>
      </c>
      <c r="Y17" s="291">
        <f>Кад!D10</f>
        <v>605.69683999999995</v>
      </c>
      <c r="Z17" s="291">
        <f t="shared" si="23"/>
        <v>105.0362591150688</v>
      </c>
      <c r="AA17" s="291">
        <f>Кад!C11</f>
        <v>0</v>
      </c>
      <c r="AB17" s="295">
        <f>Кад!D11</f>
        <v>-62.938310000000001</v>
      </c>
      <c r="AC17" s="291" t="e">
        <f t="shared" si="24"/>
        <v>#DIV/0!</v>
      </c>
      <c r="AD17" s="305">
        <f>Кад!C13</f>
        <v>75</v>
      </c>
      <c r="AE17" s="305">
        <f>Кад!D13</f>
        <v>139.50817000000001</v>
      </c>
      <c r="AF17" s="298">
        <f t="shared" si="25"/>
        <v>186.01089333333334</v>
      </c>
      <c r="AG17" s="305">
        <f>Кад!C15</f>
        <v>473</v>
      </c>
      <c r="AH17" s="297">
        <f>Кад!D15</f>
        <v>558.89953000000003</v>
      </c>
      <c r="AI17" s="298">
        <f t="shared" si="26"/>
        <v>118.16057716701904</v>
      </c>
      <c r="AJ17" s="305">
        <f>Кад!C16</f>
        <v>3000</v>
      </c>
      <c r="AK17" s="305">
        <f>Кад!D16</f>
        <v>3263.7216800000001</v>
      </c>
      <c r="AL17" s="298">
        <f t="shared" si="6"/>
        <v>108.79072266666667</v>
      </c>
      <c r="AM17" s="298">
        <f>Кад!C18</f>
        <v>10</v>
      </c>
      <c r="AN17" s="298">
        <f>Кад!D18</f>
        <v>7.4</v>
      </c>
      <c r="AO17" s="298">
        <f t="shared" si="27"/>
        <v>74</v>
      </c>
      <c r="AP17" s="298"/>
      <c r="AQ17" s="298"/>
      <c r="AR17" s="298" t="e">
        <f t="shared" si="7"/>
        <v>#DIV/0!</v>
      </c>
      <c r="AS17" s="305">
        <v>0</v>
      </c>
      <c r="AT17" s="305">
        <v>0</v>
      </c>
      <c r="AU17" s="298" t="e">
        <f t="shared" si="8"/>
        <v>#DIV/0!</v>
      </c>
      <c r="AV17" s="305">
        <f>Кад!C27</f>
        <v>200</v>
      </c>
      <c r="AW17" s="306">
        <f>Кад!D27</f>
        <v>247.834</v>
      </c>
      <c r="AX17" s="298">
        <f t="shared" si="28"/>
        <v>123.91700000000002</v>
      </c>
      <c r="AY17" s="300">
        <f>Кад!C28</f>
        <v>12</v>
      </c>
      <c r="AZ17" s="306">
        <f>Кад!D28</f>
        <v>18</v>
      </c>
      <c r="BA17" s="298">
        <f t="shared" si="29"/>
        <v>150</v>
      </c>
      <c r="BB17" s="305"/>
      <c r="BC17" s="305"/>
      <c r="BD17" s="298" t="e">
        <f t="shared" si="30"/>
        <v>#DIV/0!</v>
      </c>
      <c r="BE17" s="298">
        <f>Кад!C30</f>
        <v>30</v>
      </c>
      <c r="BF17" s="301">
        <f>Кад!D30</f>
        <v>80.341700000000003</v>
      </c>
      <c r="BG17" s="298">
        <f t="shared" si="31"/>
        <v>267.8056666666667</v>
      </c>
      <c r="BH17" s="298"/>
      <c r="BI17" s="298"/>
      <c r="BJ17" s="298"/>
      <c r="BK17" s="298">
        <f>Кад!C33</f>
        <v>0</v>
      </c>
      <c r="BL17" s="298">
        <f>Кад!D33</f>
        <v>0</v>
      </c>
      <c r="BM17" s="298" t="e">
        <f t="shared" si="32"/>
        <v>#DIV/0!</v>
      </c>
      <c r="BN17" s="298"/>
      <c r="BO17" s="298"/>
      <c r="BP17" s="298" t="e">
        <f t="shared" si="33"/>
        <v>#DIV/0!</v>
      </c>
      <c r="BQ17" s="298"/>
      <c r="BR17" s="298"/>
      <c r="BS17" s="298"/>
      <c r="BT17" s="298">
        <f>Кад!C34</f>
        <v>0</v>
      </c>
      <c r="BU17" s="298">
        <f>Кад!D34</f>
        <v>15.28323</v>
      </c>
      <c r="BV17" s="291" t="e">
        <f t="shared" si="34"/>
        <v>#DIV/0!</v>
      </c>
      <c r="BW17" s="298">
        <f>Кад!C36</f>
        <v>824.00225999999998</v>
      </c>
      <c r="BX17" s="298">
        <f>Кад!D36</f>
        <v>1657.63382</v>
      </c>
      <c r="BY17" s="298">
        <f t="shared" si="35"/>
        <v>201.16860116378808</v>
      </c>
      <c r="BZ17" s="298"/>
      <c r="CA17" s="298"/>
      <c r="CB17" s="307" t="e">
        <f t="shared" si="36"/>
        <v>#DIV/0!</v>
      </c>
      <c r="CC17" s="307"/>
      <c r="CD17" s="307"/>
      <c r="CE17" s="307" t="e">
        <f t="shared" si="37"/>
        <v>#DIV/0!</v>
      </c>
      <c r="CF17" s="296">
        <f t="shared" si="38"/>
        <v>6805.852609999999</v>
      </c>
      <c r="CG17" s="296">
        <f>CJ17+CM17+CP17+CS17+CY17+CV17+DB17</f>
        <v>6805.852609999999</v>
      </c>
      <c r="CH17" s="298">
        <f>CG17/CF17*100</f>
        <v>100</v>
      </c>
      <c r="CI17" s="298">
        <f>Кад!C41</f>
        <v>2418.1</v>
      </c>
      <c r="CJ17" s="298">
        <f>Кад!D41</f>
        <v>2418.1</v>
      </c>
      <c r="CK17" s="298">
        <f t="shared" si="40"/>
        <v>100</v>
      </c>
      <c r="CL17" s="298">
        <f>Кад!C42</f>
        <v>0</v>
      </c>
      <c r="CM17" s="389">
        <f>Кад!D42</f>
        <v>0</v>
      </c>
      <c r="CN17" s="298" t="e">
        <f t="shared" si="41"/>
        <v>#DIV/0!</v>
      </c>
      <c r="CO17" s="291">
        <f>Кад!C43</f>
        <v>3774.8609999999999</v>
      </c>
      <c r="CP17" s="298">
        <f>Кад!D43</f>
        <v>3774.8609999999999</v>
      </c>
      <c r="CQ17" s="298">
        <f t="shared" si="9"/>
        <v>100</v>
      </c>
      <c r="CR17" s="298">
        <f>Кад!C45</f>
        <v>280.75860999999998</v>
      </c>
      <c r="CS17" s="298">
        <f>Кад!D45</f>
        <v>280.75860999999998</v>
      </c>
      <c r="CT17" s="298">
        <f t="shared" si="10"/>
        <v>100</v>
      </c>
      <c r="CU17" s="298">
        <f>Кад!C46</f>
        <v>332.13299999999998</v>
      </c>
      <c r="CV17" s="298">
        <f>Кад!D46</f>
        <v>332.13299999999998</v>
      </c>
      <c r="CW17" s="291">
        <f t="shared" si="42"/>
        <v>100</v>
      </c>
      <c r="CX17" s="309">
        <f>Кад!C47</f>
        <v>0</v>
      </c>
      <c r="CY17" s="298">
        <f>Кад!D47</f>
        <v>0</v>
      </c>
      <c r="CZ17" s="298" t="e">
        <f t="shared" si="11"/>
        <v>#DIV/0!</v>
      </c>
      <c r="DA17" s="298"/>
      <c r="DB17" s="298"/>
      <c r="DC17" s="298"/>
      <c r="DD17" s="305"/>
      <c r="DE17" s="305"/>
      <c r="DF17" s="298" t="e">
        <f t="shared" si="43"/>
        <v>#DIV/0!</v>
      </c>
      <c r="DG17" s="298"/>
      <c r="DH17" s="298"/>
      <c r="DI17" s="298"/>
      <c r="DJ17" s="298"/>
      <c r="DK17" s="298"/>
      <c r="DL17" s="298"/>
      <c r="DM17" s="300">
        <f t="shared" si="44"/>
        <v>15075.563150000002</v>
      </c>
      <c r="DN17" s="300">
        <f t="shared" si="44"/>
        <v>14810.0149</v>
      </c>
      <c r="DO17" s="298">
        <f t="shared" si="45"/>
        <v>98.238551705446568</v>
      </c>
      <c r="DP17" s="305">
        <f t="shared" si="46"/>
        <v>2356.4079999999999</v>
      </c>
      <c r="DQ17" s="305">
        <f t="shared" si="46"/>
        <v>2283.46083</v>
      </c>
      <c r="DR17" s="298">
        <f t="shared" si="47"/>
        <v>96.904306469847342</v>
      </c>
      <c r="DS17" s="298">
        <f>Кад!C57</f>
        <v>2223.308</v>
      </c>
      <c r="DT17" s="298">
        <f>Кад!D57</f>
        <v>2161.1443300000001</v>
      </c>
      <c r="DU17" s="298">
        <f t="shared" si="48"/>
        <v>97.204000975123563</v>
      </c>
      <c r="DV17" s="298">
        <f>Кад!C60</f>
        <v>0</v>
      </c>
      <c r="DW17" s="298">
        <f>Кад!D60</f>
        <v>0</v>
      </c>
      <c r="DX17" s="298" t="e">
        <f t="shared" si="49"/>
        <v>#DIV/0!</v>
      </c>
      <c r="DY17" s="298">
        <f>Кад!C61</f>
        <v>10</v>
      </c>
      <c r="DZ17" s="298">
        <f>Кад!D61</f>
        <v>0</v>
      </c>
      <c r="EA17" s="298">
        <f t="shared" si="50"/>
        <v>0</v>
      </c>
      <c r="EB17" s="298">
        <f>Кад!C62</f>
        <v>123.1</v>
      </c>
      <c r="EC17" s="298">
        <f>Кад!D62</f>
        <v>122.3165</v>
      </c>
      <c r="ED17" s="298">
        <f t="shared" si="51"/>
        <v>99.363525588952086</v>
      </c>
      <c r="EE17" s="298">
        <f>Кад!C64</f>
        <v>280.75860999999998</v>
      </c>
      <c r="EF17" s="298">
        <f>Кад!D64</f>
        <v>280.75860999999998</v>
      </c>
      <c r="EG17" s="298">
        <f t="shared" si="52"/>
        <v>100</v>
      </c>
      <c r="EH17" s="298">
        <f>Кад!C65</f>
        <v>7.8</v>
      </c>
      <c r="EI17" s="298">
        <f>Кад!D65</f>
        <v>7.6313399999999998</v>
      </c>
      <c r="EJ17" s="298">
        <f t="shared" si="53"/>
        <v>97.837692307692308</v>
      </c>
      <c r="EK17" s="305">
        <f>Кад!C71</f>
        <v>5183.3580400000001</v>
      </c>
      <c r="EL17" s="305">
        <f>Кад!D71</f>
        <v>5128.8054899999997</v>
      </c>
      <c r="EM17" s="298">
        <f t="shared" si="54"/>
        <v>98.947544244888775</v>
      </c>
      <c r="EN17" s="305">
        <f>Кад!C76</f>
        <v>4934.9865</v>
      </c>
      <c r="EO17" s="305">
        <f>Кад!D76</f>
        <v>4797.1322</v>
      </c>
      <c r="EP17" s="298">
        <f t="shared" si="55"/>
        <v>97.206592155824552</v>
      </c>
      <c r="EQ17" s="305">
        <f>Кад!C80</f>
        <v>2312.252</v>
      </c>
      <c r="ER17" s="310">
        <f>Кад!D80</f>
        <v>2312.2264300000002</v>
      </c>
      <c r="ES17" s="298">
        <f t="shared" si="12"/>
        <v>99.998894151675515</v>
      </c>
      <c r="ET17" s="298">
        <f>Кад!C82</f>
        <v>0</v>
      </c>
      <c r="EU17" s="298">
        <f>Кад!D82</f>
        <v>0</v>
      </c>
      <c r="EV17" s="298" t="e">
        <f t="shared" si="13"/>
        <v>#DIV/0!</v>
      </c>
      <c r="EW17" s="311">
        <f>Кад!C87</f>
        <v>0</v>
      </c>
      <c r="EX17" s="311">
        <f>Кад!D87</f>
        <v>0</v>
      </c>
      <c r="EY17" s="298" t="e">
        <f t="shared" si="56"/>
        <v>#DIV/0!</v>
      </c>
      <c r="EZ17" s="298">
        <f>Кад!C93</f>
        <v>0</v>
      </c>
      <c r="FA17" s="298">
        <f>Кад!D93</f>
        <v>0</v>
      </c>
      <c r="FB17" s="291" t="e">
        <f t="shared" si="57"/>
        <v>#DIV/0!</v>
      </c>
      <c r="FC17" s="418">
        <f t="shared" si="14"/>
        <v>-2080.3982800000013</v>
      </c>
      <c r="FD17" s="418">
        <f t="shared" si="15"/>
        <v>-152.19908000000214</v>
      </c>
      <c r="FE17" s="291">
        <f>FD17/FC17*100</f>
        <v>7.3158626145375427</v>
      </c>
      <c r="FF17" s="159"/>
      <c r="FG17" s="160"/>
      <c r="FI17" s="160"/>
    </row>
    <row r="18" spans="1:176" s="169" customFormat="1" ht="20.25" customHeight="1">
      <c r="A18" s="334">
        <v>5</v>
      </c>
      <c r="B18" s="335" t="s">
        <v>286</v>
      </c>
      <c r="C18" s="314">
        <f t="shared" si="16"/>
        <v>29606.026700000006</v>
      </c>
      <c r="D18" s="315">
        <f t="shared" si="0"/>
        <v>17652.122979999996</v>
      </c>
      <c r="E18" s="301">
        <f t="shared" si="1"/>
        <v>59.623410999625939</v>
      </c>
      <c r="F18" s="292">
        <f t="shared" si="17"/>
        <v>5994.76811</v>
      </c>
      <c r="G18" s="316">
        <f t="shared" si="3"/>
        <v>6126.543639999999</v>
      </c>
      <c r="H18" s="301">
        <f t="shared" si="18"/>
        <v>102.19817560215851</v>
      </c>
      <c r="I18" s="291">
        <f t="shared" si="19"/>
        <v>5784.1004000000003</v>
      </c>
      <c r="J18" s="301"/>
      <c r="K18" s="301"/>
      <c r="L18" s="294">
        <f>Мор!C6</f>
        <v>2181</v>
      </c>
      <c r="M18" s="382">
        <f>Мор!D6</f>
        <v>2334.3494999999998</v>
      </c>
      <c r="N18" s="301">
        <f t="shared" si="20"/>
        <v>107.03115543328747</v>
      </c>
      <c r="O18" s="291">
        <f t="shared" si="4"/>
        <v>557.10040000000004</v>
      </c>
      <c r="P18" s="291">
        <f t="shared" si="5"/>
        <v>540.43851999999993</v>
      </c>
      <c r="Q18" s="301"/>
      <c r="R18" s="301">
        <f>Мор!C8</f>
        <v>270.49939999999998</v>
      </c>
      <c r="S18" s="301">
        <f>Мор!D8</f>
        <v>270.92563000000001</v>
      </c>
      <c r="T18" s="301">
        <f t="shared" si="21"/>
        <v>100.15757151402185</v>
      </c>
      <c r="U18" s="301">
        <f>Мор!C9</f>
        <v>1.8280000000000001</v>
      </c>
      <c r="V18" s="301">
        <f>Мор!D9</f>
        <v>1.4634100000000001</v>
      </c>
      <c r="W18" s="301">
        <f t="shared" si="22"/>
        <v>80.055251641137858</v>
      </c>
      <c r="X18" s="301">
        <f>Мор!C10</f>
        <v>284.77300000000002</v>
      </c>
      <c r="Y18" s="301">
        <f>Мор!D10</f>
        <v>299.13249999999999</v>
      </c>
      <c r="Z18" s="301">
        <f t="shared" si="23"/>
        <v>105.04243730971685</v>
      </c>
      <c r="AA18" s="301">
        <f>Мор!C11</f>
        <v>0</v>
      </c>
      <c r="AB18" s="317">
        <f>Мор!D11</f>
        <v>-31.083020000000001</v>
      </c>
      <c r="AC18" s="301" t="e">
        <f t="shared" si="24"/>
        <v>#DIV/0!</v>
      </c>
      <c r="AD18" s="300">
        <f>Мор!C13</f>
        <v>80</v>
      </c>
      <c r="AE18" s="300">
        <f>Мор!D13</f>
        <v>53.986499999999999</v>
      </c>
      <c r="AF18" s="301">
        <f t="shared" si="25"/>
        <v>67.483125000000001</v>
      </c>
      <c r="AG18" s="300">
        <f>Мор!C15</f>
        <v>1266</v>
      </c>
      <c r="AH18" s="297">
        <f>Мор!D15</f>
        <v>1456.0142499999999</v>
      </c>
      <c r="AI18" s="301">
        <f t="shared" si="26"/>
        <v>115.00902448657186</v>
      </c>
      <c r="AJ18" s="300">
        <f>Мор!C16</f>
        <v>1700</v>
      </c>
      <c r="AK18" s="300">
        <f>Мор!D16</f>
        <v>981.05989</v>
      </c>
      <c r="AL18" s="301">
        <f t="shared" si="6"/>
        <v>57.709405294117644</v>
      </c>
      <c r="AM18" s="301">
        <f>Мор!C18</f>
        <v>0</v>
      </c>
      <c r="AN18" s="301">
        <f>Мор!D18</f>
        <v>0</v>
      </c>
      <c r="AO18" s="301" t="e">
        <f t="shared" si="27"/>
        <v>#DIV/0!</v>
      </c>
      <c r="AP18" s="301">
        <f>Мор!C22</f>
        <v>0</v>
      </c>
      <c r="AQ18" s="301">
        <f>Мор!D22</f>
        <v>0</v>
      </c>
      <c r="AR18" s="301" t="e">
        <f t="shared" si="7"/>
        <v>#DIV/0!</v>
      </c>
      <c r="AS18" s="300">
        <v>0</v>
      </c>
      <c r="AT18" s="300"/>
      <c r="AU18" s="301" t="e">
        <f t="shared" si="8"/>
        <v>#DIV/0!</v>
      </c>
      <c r="AV18" s="300">
        <f>Мор!C27</f>
        <v>0</v>
      </c>
      <c r="AW18" s="306">
        <f>Мор!D27</f>
        <v>0</v>
      </c>
      <c r="AX18" s="301" t="e">
        <f t="shared" si="28"/>
        <v>#DIV/0!</v>
      </c>
      <c r="AY18" s="300">
        <f>Мор!C28</f>
        <v>0</v>
      </c>
      <c r="AZ18" s="297">
        <f>Мор!D28</f>
        <v>0</v>
      </c>
      <c r="BA18" s="301" t="e">
        <f t="shared" si="29"/>
        <v>#DIV/0!</v>
      </c>
      <c r="BB18" s="300"/>
      <c r="BC18" s="300"/>
      <c r="BD18" s="301" t="e">
        <f t="shared" si="30"/>
        <v>#DIV/0!</v>
      </c>
      <c r="BE18" s="301">
        <f>Мор!C29</f>
        <v>0</v>
      </c>
      <c r="BF18" s="301">
        <f>Мор!D29</f>
        <v>70</v>
      </c>
      <c r="BG18" s="301" t="e">
        <f t="shared" si="31"/>
        <v>#DIV/0!</v>
      </c>
      <c r="BH18" s="301"/>
      <c r="BI18" s="301"/>
      <c r="BJ18" s="301"/>
      <c r="BK18" s="301">
        <f>Мор!C33</f>
        <v>0</v>
      </c>
      <c r="BL18" s="301">
        <f>SUM(Мор!D31)</f>
        <v>15.811</v>
      </c>
      <c r="BM18" s="301" t="e">
        <f>Мор!E33</f>
        <v>#DIV/0!</v>
      </c>
      <c r="BN18" s="301">
        <f>Мор!F33</f>
        <v>0</v>
      </c>
      <c r="BO18" s="301">
        <f>Мор!G33</f>
        <v>0</v>
      </c>
      <c r="BP18" s="301">
        <f>Мор!H33</f>
        <v>0</v>
      </c>
      <c r="BQ18" s="301">
        <f>Мор!I33</f>
        <v>0</v>
      </c>
      <c r="BR18" s="301">
        <f>Мор!J33</f>
        <v>0</v>
      </c>
      <c r="BS18" s="301">
        <f>Мор!K33</f>
        <v>0</v>
      </c>
      <c r="BT18" s="301">
        <f>Мор!C34</f>
        <v>0</v>
      </c>
      <c r="BU18" s="301">
        <f>Мор!D34</f>
        <v>0</v>
      </c>
      <c r="BV18" s="291" t="e">
        <f t="shared" si="34"/>
        <v>#DIV/0!</v>
      </c>
      <c r="BW18" s="301">
        <f>Мор!C36</f>
        <v>210.66771</v>
      </c>
      <c r="BX18" s="301">
        <f>Мор!D36</f>
        <v>674.88397999999995</v>
      </c>
      <c r="BY18" s="301">
        <f t="shared" si="35"/>
        <v>320.35473305329987</v>
      </c>
      <c r="BZ18" s="301"/>
      <c r="CA18" s="301"/>
      <c r="CB18" s="318" t="e">
        <f t="shared" si="36"/>
        <v>#DIV/0!</v>
      </c>
      <c r="CC18" s="318"/>
      <c r="CD18" s="318"/>
      <c r="CE18" s="318" t="e">
        <f t="shared" si="37"/>
        <v>#DIV/0!</v>
      </c>
      <c r="CF18" s="300">
        <f t="shared" si="38"/>
        <v>23611.258590000005</v>
      </c>
      <c r="CG18" s="296">
        <f t="shared" si="39"/>
        <v>11525.579339999998</v>
      </c>
      <c r="CH18" s="301">
        <f t="shared" ref="CH18:CH31" si="58">CG18/CF18*100</f>
        <v>48.813913481432905</v>
      </c>
      <c r="CI18" s="301">
        <f>Мор!C41</f>
        <v>8286.2999999999993</v>
      </c>
      <c r="CJ18" s="301">
        <f>Мор!D41</f>
        <v>8286.2999999999993</v>
      </c>
      <c r="CK18" s="301">
        <f t="shared" si="40"/>
        <v>100</v>
      </c>
      <c r="CL18" s="301">
        <f>Мор!C42</f>
        <v>0</v>
      </c>
      <c r="CM18" s="390">
        <f>Мор!D42</f>
        <v>0</v>
      </c>
      <c r="CN18" s="301" t="e">
        <f t="shared" si="41"/>
        <v>#DIV/0!</v>
      </c>
      <c r="CO18" s="301">
        <f>Мор!C43</f>
        <v>12879.85619</v>
      </c>
      <c r="CP18" s="301">
        <f>Мор!D43</f>
        <v>1640.2046399999999</v>
      </c>
      <c r="CQ18" s="301">
        <f t="shared" si="9"/>
        <v>12.734650261650165</v>
      </c>
      <c r="CR18" s="301">
        <f>Мор!C45</f>
        <v>64.344399999999993</v>
      </c>
      <c r="CS18" s="301">
        <f>Мор!D45</f>
        <v>64.316699999999997</v>
      </c>
      <c r="CT18" s="301">
        <f t="shared" si="10"/>
        <v>99.956950410602957</v>
      </c>
      <c r="CU18" s="301">
        <f>Мор!C46</f>
        <v>2380.7579999999998</v>
      </c>
      <c r="CV18" s="301">
        <f>Мор!D46</f>
        <v>1534.758</v>
      </c>
      <c r="CW18" s="291">
        <f t="shared" si="42"/>
        <v>64.465098930676717</v>
      </c>
      <c r="CX18" s="317">
        <f>Мор!C48</f>
        <v>0</v>
      </c>
      <c r="CY18" s="301">
        <f>Мор!D48</f>
        <v>0</v>
      </c>
      <c r="CZ18" s="301" t="e">
        <f t="shared" si="11"/>
        <v>#DIV/0!</v>
      </c>
      <c r="DA18" s="301"/>
      <c r="DB18" s="301">
        <f>SUM(Мор!D49)</f>
        <v>0</v>
      </c>
      <c r="DC18" s="301"/>
      <c r="DD18" s="300"/>
      <c r="DE18" s="300"/>
      <c r="DF18" s="301" t="e">
        <f t="shared" si="43"/>
        <v>#DIV/0!</v>
      </c>
      <c r="DG18" s="301"/>
      <c r="DH18" s="301"/>
      <c r="DI18" s="301"/>
      <c r="DJ18" s="301"/>
      <c r="DK18" s="301"/>
      <c r="DL18" s="301"/>
      <c r="DM18" s="300">
        <f t="shared" si="44"/>
        <v>31911.257020000001</v>
      </c>
      <c r="DN18" s="300">
        <f t="shared" si="44"/>
        <v>18988.433000000001</v>
      </c>
      <c r="DO18" s="301">
        <f t="shared" si="45"/>
        <v>59.503870336725463</v>
      </c>
      <c r="DP18" s="300">
        <f t="shared" si="46"/>
        <v>2428.6605100000002</v>
      </c>
      <c r="DQ18" s="300">
        <f t="shared" si="46"/>
        <v>2288.1988799999999</v>
      </c>
      <c r="DR18" s="301">
        <f t="shared" si="47"/>
        <v>94.216497965786075</v>
      </c>
      <c r="DS18" s="301">
        <f>Мор!C58</f>
        <v>2389.4525100000001</v>
      </c>
      <c r="DT18" s="301">
        <f>Мор!D58</f>
        <v>2268.9908799999998</v>
      </c>
      <c r="DU18" s="301">
        <f t="shared" si="48"/>
        <v>94.958609577053267</v>
      </c>
      <c r="DV18" s="301">
        <f>Мор!C61</f>
        <v>0</v>
      </c>
      <c r="DW18" s="301">
        <f>Мор!D61</f>
        <v>0</v>
      </c>
      <c r="DX18" s="301" t="e">
        <f t="shared" si="49"/>
        <v>#DIV/0!</v>
      </c>
      <c r="DY18" s="301">
        <f>Мор!C62</f>
        <v>10</v>
      </c>
      <c r="DZ18" s="301">
        <f>Мор!D62</f>
        <v>0</v>
      </c>
      <c r="EA18" s="301">
        <f t="shared" si="50"/>
        <v>0</v>
      </c>
      <c r="EB18" s="301">
        <f>Мор!C63</f>
        <v>29.207999999999998</v>
      </c>
      <c r="EC18" s="301">
        <f>Мор!D63</f>
        <v>19.207999999999998</v>
      </c>
      <c r="ED18" s="301">
        <f t="shared" si="51"/>
        <v>65.762804711038072</v>
      </c>
      <c r="EE18" s="301">
        <f>Мор!C64</f>
        <v>0</v>
      </c>
      <c r="EF18" s="301">
        <f>Мор!D64</f>
        <v>0</v>
      </c>
      <c r="EG18" s="301" t="e">
        <f t="shared" si="52"/>
        <v>#DIV/0!</v>
      </c>
      <c r="EH18" s="301">
        <f>Мор!C66</f>
        <v>15</v>
      </c>
      <c r="EI18" s="301">
        <f>Мор!D66</f>
        <v>9.9</v>
      </c>
      <c r="EJ18" s="301">
        <f t="shared" si="53"/>
        <v>66</v>
      </c>
      <c r="EK18" s="300">
        <f>Мор!C72</f>
        <v>3588.0214699999997</v>
      </c>
      <c r="EL18" s="300">
        <f>Мор!D72</f>
        <v>3506.3091199999999</v>
      </c>
      <c r="EM18" s="301">
        <f t="shared" si="54"/>
        <v>97.722634864835413</v>
      </c>
      <c r="EN18" s="300">
        <f>Мор!C77</f>
        <v>19062.27504</v>
      </c>
      <c r="EO18" s="300">
        <f>Мор!D77</f>
        <v>6375.7250000000004</v>
      </c>
      <c r="EP18" s="301">
        <f t="shared" si="55"/>
        <v>33.446820941473518</v>
      </c>
      <c r="EQ18" s="300">
        <f>Мор!C81</f>
        <v>6815.3</v>
      </c>
      <c r="ER18" s="319">
        <f>Мор!D81</f>
        <v>6808.3</v>
      </c>
      <c r="ES18" s="301">
        <f t="shared" si="12"/>
        <v>99.897289921206706</v>
      </c>
      <c r="ET18" s="301">
        <f>Мор!C84</f>
        <v>0</v>
      </c>
      <c r="EU18" s="301">
        <f>Мор!D84</f>
        <v>0</v>
      </c>
      <c r="EV18" s="301" t="e">
        <f t="shared" si="13"/>
        <v>#DIV/0!</v>
      </c>
      <c r="EW18" s="316">
        <f>Мор!C89</f>
        <v>2</v>
      </c>
      <c r="EX18" s="316">
        <f>Мор!D89</f>
        <v>0</v>
      </c>
      <c r="EY18" s="301">
        <f t="shared" si="56"/>
        <v>0</v>
      </c>
      <c r="EZ18" s="301">
        <f>Мор!C95</f>
        <v>0</v>
      </c>
      <c r="FA18" s="301">
        <f>Мор!D95</f>
        <v>0</v>
      </c>
      <c r="FB18" s="301" t="e">
        <f t="shared" si="57"/>
        <v>#DIV/0!</v>
      </c>
      <c r="FC18" s="419">
        <f t="shared" si="14"/>
        <v>-2305.2303199999951</v>
      </c>
      <c r="FD18" s="419">
        <f t="shared" si="15"/>
        <v>-1336.3100200000044</v>
      </c>
      <c r="FE18" s="301">
        <f t="shared" ref="FE18:FE29" si="59">FD18/FC18*100</f>
        <v>57.968612004027754</v>
      </c>
      <c r="FF18" s="167"/>
      <c r="FG18" s="168"/>
      <c r="FI18" s="168"/>
    </row>
    <row r="19" spans="1:176" s="250" customFormat="1" ht="27.75" customHeight="1">
      <c r="A19" s="336">
        <v>6</v>
      </c>
      <c r="B19" s="333" t="s">
        <v>287</v>
      </c>
      <c r="C19" s="312">
        <f t="shared" si="16"/>
        <v>22750.406780000001</v>
      </c>
      <c r="D19" s="290">
        <f t="shared" si="0"/>
        <v>22342.56235</v>
      </c>
      <c r="E19" s="298">
        <f t="shared" si="1"/>
        <v>98.207309284867208</v>
      </c>
      <c r="F19" s="292">
        <f t="shared" si="17"/>
        <v>7887.6425799999997</v>
      </c>
      <c r="G19" s="311">
        <f t="shared" si="3"/>
        <v>7596.2189599999992</v>
      </c>
      <c r="H19" s="298">
        <f t="shared" si="18"/>
        <v>96.305314077758325</v>
      </c>
      <c r="I19" s="291">
        <f t="shared" si="19"/>
        <v>5621.4025799999999</v>
      </c>
      <c r="J19" s="298"/>
      <c r="K19" s="298"/>
      <c r="L19" s="305">
        <f>Мос!C6</f>
        <v>1704</v>
      </c>
      <c r="M19" s="383">
        <f>Мос!D6</f>
        <v>1630.09545</v>
      </c>
      <c r="N19" s="298">
        <f t="shared" si="20"/>
        <v>95.662878521126757</v>
      </c>
      <c r="O19" s="291">
        <f t="shared" si="4"/>
        <v>960.31</v>
      </c>
      <c r="P19" s="291">
        <f t="shared" si="5"/>
        <v>1017.0985900000002</v>
      </c>
      <c r="Q19" s="298"/>
      <c r="R19" s="298">
        <f>Мос!C8</f>
        <v>420.89600000000002</v>
      </c>
      <c r="S19" s="298">
        <f>Мос!D8</f>
        <v>509.87867</v>
      </c>
      <c r="T19" s="298">
        <f t="shared" si="21"/>
        <v>121.14124866950505</v>
      </c>
      <c r="U19" s="298">
        <f>Мос!C9</f>
        <v>3.4409999999999998</v>
      </c>
      <c r="V19" s="298">
        <f>Мос!D9</f>
        <v>2.7541500000000001</v>
      </c>
      <c r="W19" s="298">
        <f t="shared" si="22"/>
        <v>80.039232781168266</v>
      </c>
      <c r="X19" s="298">
        <f>Мос!C10</f>
        <v>535.97299999999996</v>
      </c>
      <c r="Y19" s="298">
        <f>Мос!D10</f>
        <v>562.96364000000005</v>
      </c>
      <c r="Z19" s="298">
        <f t="shared" si="23"/>
        <v>105.03582083425846</v>
      </c>
      <c r="AA19" s="298">
        <f>Мос!C11</f>
        <v>0</v>
      </c>
      <c r="AB19" s="309">
        <f>Мос!D11</f>
        <v>-58.497869999999999</v>
      </c>
      <c r="AC19" s="298" t="e">
        <f t="shared" si="24"/>
        <v>#DIV/0!</v>
      </c>
      <c r="AD19" s="305">
        <f>Мос!C13</f>
        <v>60</v>
      </c>
      <c r="AE19" s="305">
        <f>Мос!D13</f>
        <v>58.41</v>
      </c>
      <c r="AF19" s="298">
        <f t="shared" si="25"/>
        <v>97.35</v>
      </c>
      <c r="AG19" s="305">
        <f>Мос!C15</f>
        <v>999</v>
      </c>
      <c r="AH19" s="297">
        <f>Мос!D15</f>
        <v>581.25049000000001</v>
      </c>
      <c r="AI19" s="298">
        <f t="shared" si="26"/>
        <v>58.183232232232228</v>
      </c>
      <c r="AJ19" s="305">
        <f>Мос!C16</f>
        <v>1890.09258</v>
      </c>
      <c r="AK19" s="305">
        <f>Мос!D16</f>
        <v>1943.6411900000001</v>
      </c>
      <c r="AL19" s="298">
        <f t="shared" si="6"/>
        <v>102.83312101040045</v>
      </c>
      <c r="AM19" s="298">
        <f>Мос!C18</f>
        <v>8</v>
      </c>
      <c r="AN19" s="298">
        <f>Мос!D18</f>
        <v>3.7</v>
      </c>
      <c r="AO19" s="298">
        <f t="shared" si="27"/>
        <v>46.25</v>
      </c>
      <c r="AP19" s="298"/>
      <c r="AQ19" s="298"/>
      <c r="AR19" s="298" t="e">
        <f t="shared" si="7"/>
        <v>#DIV/0!</v>
      </c>
      <c r="AS19" s="305">
        <f>Мос!C27</f>
        <v>0</v>
      </c>
      <c r="AT19" s="305">
        <v>0</v>
      </c>
      <c r="AU19" s="298" t="e">
        <f t="shared" si="8"/>
        <v>#DIV/0!</v>
      </c>
      <c r="AV19" s="305">
        <v>0</v>
      </c>
      <c r="AW19" s="306">
        <f>Мос!D27</f>
        <v>27.3</v>
      </c>
      <c r="AX19" s="298" t="e">
        <f t="shared" si="28"/>
        <v>#DIV/0!</v>
      </c>
      <c r="AY19" s="305">
        <f>Мос!C26</f>
        <v>0</v>
      </c>
      <c r="AZ19" s="306">
        <f>Мос!D28</f>
        <v>0</v>
      </c>
      <c r="BA19" s="298" t="e">
        <f t="shared" si="29"/>
        <v>#DIV/0!</v>
      </c>
      <c r="BB19" s="305"/>
      <c r="BC19" s="305"/>
      <c r="BD19" s="298" t="e">
        <f t="shared" si="30"/>
        <v>#DIV/0!</v>
      </c>
      <c r="BE19" s="298">
        <f>Мос!C30</f>
        <v>0</v>
      </c>
      <c r="BF19" s="301">
        <f>Мос!D30</f>
        <v>0.39237</v>
      </c>
      <c r="BG19" s="298" t="e">
        <f t="shared" si="31"/>
        <v>#DIV/0!</v>
      </c>
      <c r="BH19" s="298"/>
      <c r="BI19" s="298"/>
      <c r="BJ19" s="298"/>
      <c r="BK19" s="298">
        <f>SUM(Мос!C31)</f>
        <v>1366.24</v>
      </c>
      <c r="BL19" s="298">
        <f>Мос!D31</f>
        <v>1366.24</v>
      </c>
      <c r="BM19" s="298">
        <f t="shared" si="32"/>
        <v>100</v>
      </c>
      <c r="BN19" s="298"/>
      <c r="BO19" s="298"/>
      <c r="BP19" s="298" t="e">
        <f t="shared" si="33"/>
        <v>#DIV/0!</v>
      </c>
      <c r="BQ19" s="298"/>
      <c r="BR19" s="298"/>
      <c r="BS19" s="298"/>
      <c r="BT19" s="298">
        <f>Мос!C34</f>
        <v>0</v>
      </c>
      <c r="BU19" s="298">
        <f>Мос!D35</f>
        <v>10.480639999999999</v>
      </c>
      <c r="BV19" s="291" t="e">
        <f t="shared" si="34"/>
        <v>#DIV/0!</v>
      </c>
      <c r="BW19" s="298">
        <f>Мос!C36</f>
        <v>900</v>
      </c>
      <c r="BX19" s="298">
        <f>Мос!D36</f>
        <v>957.61023</v>
      </c>
      <c r="BY19" s="298">
        <f t="shared" si="35"/>
        <v>106.40113666666666</v>
      </c>
      <c r="BZ19" s="298"/>
      <c r="CA19" s="298"/>
      <c r="CB19" s="307" t="e">
        <f t="shared" si="36"/>
        <v>#DIV/0!</v>
      </c>
      <c r="CC19" s="307"/>
      <c r="CD19" s="307"/>
      <c r="CE19" s="307" t="e">
        <f t="shared" si="37"/>
        <v>#DIV/0!</v>
      </c>
      <c r="CF19" s="305">
        <f t="shared" si="38"/>
        <v>14862.764200000001</v>
      </c>
      <c r="CG19" s="305">
        <f t="shared" si="39"/>
        <v>14746.343390000002</v>
      </c>
      <c r="CH19" s="298">
        <f t="shared" si="58"/>
        <v>99.216694765298115</v>
      </c>
      <c r="CI19" s="298">
        <f>SUM(Мос!C41)</f>
        <v>1479.2</v>
      </c>
      <c r="CJ19" s="298">
        <f>SUM(Мос!D41)</f>
        <v>1479.2</v>
      </c>
      <c r="CK19" s="298">
        <f>CJ19/CI19*100</f>
        <v>100</v>
      </c>
      <c r="CL19" s="298">
        <f>Мос!C42</f>
        <v>0</v>
      </c>
      <c r="CM19" s="389">
        <f>Мос!D42</f>
        <v>0</v>
      </c>
      <c r="CN19" s="298" t="e">
        <f t="shared" si="41"/>
        <v>#DIV/0!</v>
      </c>
      <c r="CO19" s="298">
        <f>Мос!C43</f>
        <v>9585.9362700000001</v>
      </c>
      <c r="CP19" s="298">
        <f>Мос!D43</f>
        <v>9480.7693099999997</v>
      </c>
      <c r="CQ19" s="298">
        <f t="shared" si="9"/>
        <v>98.902903617989523</v>
      </c>
      <c r="CR19" s="298">
        <f>Мос!C45</f>
        <v>100.99429000000001</v>
      </c>
      <c r="CS19" s="298">
        <f>Мос!D45</f>
        <v>100.99429000000001</v>
      </c>
      <c r="CT19" s="298">
        <f t="shared" si="10"/>
        <v>100</v>
      </c>
      <c r="CU19" s="298">
        <f>Мос!C46</f>
        <v>3696.63364</v>
      </c>
      <c r="CV19" s="298">
        <f>Мос!D46</f>
        <v>3685.37979</v>
      </c>
      <c r="CW19" s="291">
        <f t="shared" si="42"/>
        <v>99.695564908617769</v>
      </c>
      <c r="CX19" s="309">
        <f>Мос!C51</f>
        <v>0</v>
      </c>
      <c r="CY19" s="298">
        <f>Мос!D51</f>
        <v>0</v>
      </c>
      <c r="CZ19" s="298" t="e">
        <f t="shared" si="11"/>
        <v>#DIV/0!</v>
      </c>
      <c r="DA19" s="298"/>
      <c r="DB19" s="298"/>
      <c r="DC19" s="298"/>
      <c r="DD19" s="305"/>
      <c r="DE19" s="305"/>
      <c r="DF19" s="298" t="e">
        <f t="shared" si="43"/>
        <v>#DIV/0!</v>
      </c>
      <c r="DG19" s="298"/>
      <c r="DH19" s="298"/>
      <c r="DI19" s="298"/>
      <c r="DJ19" s="298"/>
      <c r="DK19" s="298"/>
      <c r="DL19" s="298"/>
      <c r="DM19" s="300">
        <f t="shared" si="44"/>
        <v>23503.717489999999</v>
      </c>
      <c r="DN19" s="300">
        <f t="shared" si="44"/>
        <v>22321.863880000001</v>
      </c>
      <c r="DO19" s="298">
        <f t="shared" si="45"/>
        <v>94.971631145146134</v>
      </c>
      <c r="DP19" s="305">
        <f t="shared" si="46"/>
        <v>2831.9647500000001</v>
      </c>
      <c r="DQ19" s="305">
        <f t="shared" si="46"/>
        <v>2787.7168799999999</v>
      </c>
      <c r="DR19" s="298">
        <f t="shared" si="47"/>
        <v>98.437555764068037</v>
      </c>
      <c r="DS19" s="298">
        <f>Мос!C59</f>
        <v>2660.6980800000001</v>
      </c>
      <c r="DT19" s="298">
        <f>Мос!D59</f>
        <v>2617.45021</v>
      </c>
      <c r="DU19" s="298">
        <f t="shared" si="48"/>
        <v>98.374566797898382</v>
      </c>
      <c r="DV19" s="298">
        <f>Мос!C62</f>
        <v>0</v>
      </c>
      <c r="DW19" s="298">
        <f>Мос!D62</f>
        <v>0</v>
      </c>
      <c r="DX19" s="298" t="e">
        <f t="shared" si="49"/>
        <v>#DIV/0!</v>
      </c>
      <c r="DY19" s="298">
        <f>Мос!C63</f>
        <v>1</v>
      </c>
      <c r="DZ19" s="298">
        <f>Мос!D63</f>
        <v>0</v>
      </c>
      <c r="EA19" s="298">
        <f t="shared" si="50"/>
        <v>0</v>
      </c>
      <c r="EB19" s="298">
        <f>Мос!C64</f>
        <v>170.26667</v>
      </c>
      <c r="EC19" s="298">
        <f>Мос!D64</f>
        <v>170.26667</v>
      </c>
      <c r="ED19" s="298">
        <f t="shared" si="51"/>
        <v>100</v>
      </c>
      <c r="EE19" s="298">
        <f>Мос!C66</f>
        <v>100.99429000000001</v>
      </c>
      <c r="EF19" s="298">
        <f>Мос!D66</f>
        <v>100.99429000000001</v>
      </c>
      <c r="EG19" s="298">
        <f t="shared" si="52"/>
        <v>100</v>
      </c>
      <c r="EH19" s="298">
        <f>Мос!C67</f>
        <v>10.5</v>
      </c>
      <c r="EI19" s="298">
        <f>Мос!D67</f>
        <v>8</v>
      </c>
      <c r="EJ19" s="298">
        <f t="shared" si="53"/>
        <v>76.19047619047619</v>
      </c>
      <c r="EK19" s="305">
        <f>Мос!C73</f>
        <v>4577.6575700000003</v>
      </c>
      <c r="EL19" s="305">
        <f>Мос!D73</f>
        <v>4574.0727299999999</v>
      </c>
      <c r="EM19" s="298">
        <f t="shared" si="54"/>
        <v>99.92168833196493</v>
      </c>
      <c r="EN19" s="305">
        <f>Мос!C78</f>
        <v>14680.54888</v>
      </c>
      <c r="EO19" s="305">
        <f>Мос!D78</f>
        <v>14467.794980000001</v>
      </c>
      <c r="EP19" s="298">
        <f t="shared" si="55"/>
        <v>98.550776937980544</v>
      </c>
      <c r="EQ19" s="305">
        <f>Мос!C83</f>
        <v>1263.0519999999999</v>
      </c>
      <c r="ER19" s="310">
        <f>Мос!D83</f>
        <v>344.28500000000003</v>
      </c>
      <c r="ES19" s="298">
        <f t="shared" si="12"/>
        <v>27.258180977505287</v>
      </c>
      <c r="ET19" s="298">
        <f>Мос!C88</f>
        <v>4</v>
      </c>
      <c r="EU19" s="298">
        <f>Мос!D88</f>
        <v>4</v>
      </c>
      <c r="EV19" s="298">
        <f t="shared" si="13"/>
        <v>100</v>
      </c>
      <c r="EW19" s="311">
        <f>Мос!C93</f>
        <v>35</v>
      </c>
      <c r="EX19" s="311">
        <f>Мос!D93</f>
        <v>35</v>
      </c>
      <c r="EY19" s="298">
        <f t="shared" si="56"/>
        <v>100</v>
      </c>
      <c r="EZ19" s="298">
        <f>Мос!C99</f>
        <v>0</v>
      </c>
      <c r="FA19" s="298">
        <f>Мос!D99</f>
        <v>0</v>
      </c>
      <c r="FB19" s="298" t="e">
        <f t="shared" si="57"/>
        <v>#DIV/0!</v>
      </c>
      <c r="FC19" s="419">
        <f t="shared" si="14"/>
        <v>-753.31070999999793</v>
      </c>
      <c r="FD19" s="420">
        <f t="shared" si="15"/>
        <v>20.698469999999361</v>
      </c>
      <c r="FE19" s="298">
        <f t="shared" si="59"/>
        <v>-2.7476670283898419</v>
      </c>
      <c r="FF19" s="248"/>
      <c r="FG19" s="249"/>
      <c r="FI19" s="249"/>
    </row>
    <row r="20" spans="1:176" s="157" customFormat="1" ht="24.75" customHeight="1">
      <c r="A20" s="331">
        <v>7</v>
      </c>
      <c r="B20" s="333" t="s">
        <v>288</v>
      </c>
      <c r="C20" s="289">
        <f t="shared" si="16"/>
        <v>14425.71789</v>
      </c>
      <c r="D20" s="290">
        <f t="shared" si="0"/>
        <v>15213.79538</v>
      </c>
      <c r="E20" s="298">
        <f t="shared" si="1"/>
        <v>105.46300361624499</v>
      </c>
      <c r="F20" s="292">
        <f t="shared" si="17"/>
        <v>3258.4828500000003</v>
      </c>
      <c r="G20" s="292">
        <f t="shared" si="3"/>
        <v>4301.8335399999996</v>
      </c>
      <c r="H20" s="298">
        <f t="shared" si="18"/>
        <v>132.01952374860585</v>
      </c>
      <c r="I20" s="291">
        <f t="shared" si="19"/>
        <v>2301.8199999999997</v>
      </c>
      <c r="J20" s="298"/>
      <c r="K20" s="298"/>
      <c r="L20" s="313">
        <f>Ори!C6</f>
        <v>273</v>
      </c>
      <c r="M20" s="382">
        <f>Ори!D6</f>
        <v>323.16827000000001</v>
      </c>
      <c r="N20" s="298">
        <f t="shared" si="20"/>
        <v>118.37665567765568</v>
      </c>
      <c r="O20" s="291">
        <f t="shared" si="4"/>
        <v>550.81999999999994</v>
      </c>
      <c r="P20" s="291">
        <f t="shared" si="5"/>
        <v>651.2116299999999</v>
      </c>
      <c r="Q20" s="298"/>
      <c r="R20" s="298">
        <f>Ори!C8</f>
        <v>205.45599999999999</v>
      </c>
      <c r="S20" s="298">
        <f>Ори!D8</f>
        <v>326.45697999999999</v>
      </c>
      <c r="T20" s="291">
        <f t="shared" si="21"/>
        <v>158.89386535316567</v>
      </c>
      <c r="U20" s="291">
        <f>Ори!C9</f>
        <v>2.2029999999999998</v>
      </c>
      <c r="V20" s="291">
        <f>Ори!D9</f>
        <v>1.7633799999999999</v>
      </c>
      <c r="W20" s="291">
        <f t="shared" si="22"/>
        <v>80.044484793463468</v>
      </c>
      <c r="X20" s="291">
        <f>Ори!C10</f>
        <v>343.161</v>
      </c>
      <c r="Y20" s="291">
        <f>Ори!D10</f>
        <v>360.44537000000003</v>
      </c>
      <c r="Z20" s="291">
        <f t="shared" si="23"/>
        <v>105.03681070984175</v>
      </c>
      <c r="AA20" s="291">
        <f>Ори!C11</f>
        <v>0</v>
      </c>
      <c r="AB20" s="295">
        <f>Ори!D11</f>
        <v>-37.454099999999997</v>
      </c>
      <c r="AC20" s="291" t="e">
        <f t="shared" si="24"/>
        <v>#DIV/0!</v>
      </c>
      <c r="AD20" s="305">
        <f>Ори!C13</f>
        <v>10</v>
      </c>
      <c r="AE20" s="305">
        <f>Ори!D13</f>
        <v>3.70086</v>
      </c>
      <c r="AF20" s="298">
        <f t="shared" si="25"/>
        <v>37.008600000000001</v>
      </c>
      <c r="AG20" s="305">
        <f>Ори!C15</f>
        <v>360</v>
      </c>
      <c r="AH20" s="297">
        <f>Ори!D15</f>
        <v>371.22931</v>
      </c>
      <c r="AI20" s="298">
        <f t="shared" si="26"/>
        <v>103.11925277777777</v>
      </c>
      <c r="AJ20" s="305">
        <f>Ори!C16</f>
        <v>1100</v>
      </c>
      <c r="AK20" s="305">
        <f>Ори!D16</f>
        <v>1216.38869</v>
      </c>
      <c r="AL20" s="298">
        <f t="shared" si="6"/>
        <v>110.58079000000001</v>
      </c>
      <c r="AM20" s="298">
        <f>Ори!C18</f>
        <v>8</v>
      </c>
      <c r="AN20" s="298">
        <f>Ори!D18</f>
        <v>4.84</v>
      </c>
      <c r="AO20" s="298">
        <f t="shared" si="27"/>
        <v>60.5</v>
      </c>
      <c r="AP20" s="298"/>
      <c r="AQ20" s="298"/>
      <c r="AR20" s="298" t="e">
        <f t="shared" si="7"/>
        <v>#DIV/0!</v>
      </c>
      <c r="AS20" s="305">
        <v>0</v>
      </c>
      <c r="AT20" s="305">
        <v>0</v>
      </c>
      <c r="AU20" s="298" t="e">
        <f t="shared" si="8"/>
        <v>#DIV/0!</v>
      </c>
      <c r="AV20" s="305">
        <f>Ори!C27</f>
        <v>100</v>
      </c>
      <c r="AW20" s="306">
        <f>Ори!D27</f>
        <v>149.25879</v>
      </c>
      <c r="AX20" s="298">
        <f t="shared" si="28"/>
        <v>149.25879</v>
      </c>
      <c r="AY20" s="300">
        <f>Ори!C28</f>
        <v>30</v>
      </c>
      <c r="AZ20" s="306">
        <f>Ори!D28</f>
        <v>54.000749999999996</v>
      </c>
      <c r="BA20" s="298">
        <f t="shared" si="29"/>
        <v>180.0025</v>
      </c>
      <c r="BB20" s="305"/>
      <c r="BC20" s="305"/>
      <c r="BD20" s="298" t="e">
        <f t="shared" si="30"/>
        <v>#DIV/0!</v>
      </c>
      <c r="BE20" s="298">
        <f>Ори!C31</f>
        <v>50</v>
      </c>
      <c r="BF20" s="301">
        <f>Ори!D31</f>
        <v>63.020650000000003</v>
      </c>
      <c r="BG20" s="298">
        <f t="shared" si="31"/>
        <v>126.04130000000001</v>
      </c>
      <c r="BH20" s="298"/>
      <c r="BI20" s="298"/>
      <c r="BJ20" s="298"/>
      <c r="BK20" s="298">
        <f>Ори!C34</f>
        <v>0</v>
      </c>
      <c r="BL20" s="298">
        <f>SUM(Ори!D32)</f>
        <v>97.840500000000006</v>
      </c>
      <c r="BM20" s="298" t="e">
        <f t="shared" si="32"/>
        <v>#DIV/0!</v>
      </c>
      <c r="BN20" s="298"/>
      <c r="BO20" s="298"/>
      <c r="BP20" s="298" t="e">
        <f t="shared" si="33"/>
        <v>#DIV/0!</v>
      </c>
      <c r="BQ20" s="298"/>
      <c r="BR20" s="298"/>
      <c r="BS20" s="298"/>
      <c r="BT20" s="298">
        <f>Ори!C36</f>
        <v>0</v>
      </c>
      <c r="BU20" s="298">
        <f>Ори!D35</f>
        <v>218.01411999999999</v>
      </c>
      <c r="BV20" s="291" t="e">
        <f t="shared" si="34"/>
        <v>#DIV/0!</v>
      </c>
      <c r="BW20" s="298">
        <f>Ори!C37</f>
        <v>776.66285000000005</v>
      </c>
      <c r="BX20" s="298">
        <f>Ори!D37</f>
        <v>1149.1599699999999</v>
      </c>
      <c r="BY20" s="298">
        <f t="shared" si="35"/>
        <v>147.9612382644541</v>
      </c>
      <c r="BZ20" s="298"/>
      <c r="CA20" s="298"/>
      <c r="CB20" s="307" t="e">
        <f t="shared" si="36"/>
        <v>#DIV/0!</v>
      </c>
      <c r="CC20" s="307"/>
      <c r="CD20" s="307"/>
      <c r="CE20" s="307" t="e">
        <f t="shared" si="37"/>
        <v>#DIV/0!</v>
      </c>
      <c r="CF20" s="296">
        <f t="shared" si="38"/>
        <v>11167.23504</v>
      </c>
      <c r="CG20" s="296">
        <f t="shared" si="39"/>
        <v>10911.96184</v>
      </c>
      <c r="CH20" s="298">
        <f t="shared" si="58"/>
        <v>97.714087694172875</v>
      </c>
      <c r="CI20" s="298">
        <f>Ори!C42</f>
        <v>3478.3</v>
      </c>
      <c r="CJ20" s="298">
        <f>Ори!D42</f>
        <v>3478.3</v>
      </c>
      <c r="CK20" s="298">
        <f t="shared" si="40"/>
        <v>100</v>
      </c>
      <c r="CL20" s="298">
        <f>Ори!C43</f>
        <v>0</v>
      </c>
      <c r="CM20" s="389">
        <f>Ори!D43</f>
        <v>0</v>
      </c>
      <c r="CN20" s="298" t="e">
        <f t="shared" si="41"/>
        <v>#DIV/0!</v>
      </c>
      <c r="CO20" s="298">
        <f>Ори!C44</f>
        <v>5605.0820800000001</v>
      </c>
      <c r="CP20" s="298">
        <f>Ори!D44</f>
        <v>5434.8999400000002</v>
      </c>
      <c r="CQ20" s="298">
        <f t="shared" si="9"/>
        <v>96.963788619487985</v>
      </c>
      <c r="CR20" s="298">
        <f>Ори!C46</f>
        <v>278.29858999999999</v>
      </c>
      <c r="CS20" s="298">
        <f>Ори!D46</f>
        <v>278.29858999999999</v>
      </c>
      <c r="CT20" s="298">
        <f t="shared" si="10"/>
        <v>100</v>
      </c>
      <c r="CU20" s="298">
        <f>Ори!C47</f>
        <v>1805.5543700000001</v>
      </c>
      <c r="CV20" s="298">
        <f>Ори!D47</f>
        <v>1720.4633100000001</v>
      </c>
      <c r="CW20" s="291">
        <f t="shared" si="42"/>
        <v>95.287261274774011</v>
      </c>
      <c r="CX20" s="309">
        <f>Ори!C48</f>
        <v>0</v>
      </c>
      <c r="CY20" s="298">
        <f>Ори!D48</f>
        <v>0</v>
      </c>
      <c r="CZ20" s="298" t="e">
        <f t="shared" si="11"/>
        <v>#DIV/0!</v>
      </c>
      <c r="DA20" s="298"/>
      <c r="DB20" s="298"/>
      <c r="DC20" s="298"/>
      <c r="DD20" s="305"/>
      <c r="DE20" s="305"/>
      <c r="DF20" s="298" t="e">
        <f t="shared" si="43"/>
        <v>#DIV/0!</v>
      </c>
      <c r="DG20" s="298"/>
      <c r="DH20" s="298"/>
      <c r="DI20" s="298"/>
      <c r="DJ20" s="298"/>
      <c r="DK20" s="298"/>
      <c r="DL20" s="298"/>
      <c r="DM20" s="300">
        <f t="shared" si="44"/>
        <v>14735.899149999999</v>
      </c>
      <c r="DN20" s="300">
        <f t="shared" si="44"/>
        <v>13577.253279999999</v>
      </c>
      <c r="DO20" s="298">
        <f t="shared" si="45"/>
        <v>92.137257060421717</v>
      </c>
      <c r="DP20" s="305">
        <f t="shared" si="46"/>
        <v>1880.068</v>
      </c>
      <c r="DQ20" s="305">
        <f t="shared" si="46"/>
        <v>1734.7407799999999</v>
      </c>
      <c r="DR20" s="298">
        <f t="shared" si="47"/>
        <v>92.270108315231141</v>
      </c>
      <c r="DS20" s="298">
        <f>Ори!C59</f>
        <v>1853.566</v>
      </c>
      <c r="DT20" s="298">
        <f>Ори!D59</f>
        <v>1718.2387799999999</v>
      </c>
      <c r="DU20" s="298">
        <f t="shared" si="48"/>
        <v>92.699088136057725</v>
      </c>
      <c r="DV20" s="298">
        <f>Ори!C62</f>
        <v>0</v>
      </c>
      <c r="DW20" s="298">
        <f>Ори!D62</f>
        <v>0</v>
      </c>
      <c r="DX20" s="298" t="e">
        <f t="shared" si="49"/>
        <v>#DIV/0!</v>
      </c>
      <c r="DY20" s="298">
        <f>Ори!C63</f>
        <v>10</v>
      </c>
      <c r="DZ20" s="298">
        <f>Ори!D63</f>
        <v>0</v>
      </c>
      <c r="EA20" s="298">
        <f t="shared" si="50"/>
        <v>0</v>
      </c>
      <c r="EB20" s="298">
        <f>Ори!C64</f>
        <v>16.501999999999999</v>
      </c>
      <c r="EC20" s="298">
        <f>Ори!D64</f>
        <v>16.501999999999999</v>
      </c>
      <c r="ED20" s="298">
        <f t="shared" si="51"/>
        <v>100</v>
      </c>
      <c r="EE20" s="298">
        <f>Ори!C66</f>
        <v>264.00599</v>
      </c>
      <c r="EF20" s="298">
        <f>Ори!D66</f>
        <v>264.00599</v>
      </c>
      <c r="EG20" s="298">
        <f t="shared" si="52"/>
        <v>100</v>
      </c>
      <c r="EH20" s="298">
        <f>Ори!C67</f>
        <v>18.5</v>
      </c>
      <c r="EI20" s="298">
        <f>Ори!D67</f>
        <v>11.561340000000001</v>
      </c>
      <c r="EJ20" s="298">
        <f t="shared" si="53"/>
        <v>62.493729729729743</v>
      </c>
      <c r="EK20" s="305">
        <f>Ори!C73</f>
        <v>7933.1311699999997</v>
      </c>
      <c r="EL20" s="305">
        <f>Ори!D73</f>
        <v>7505.4548999999997</v>
      </c>
      <c r="EM20" s="298">
        <f t="shared" si="54"/>
        <v>94.608985269053605</v>
      </c>
      <c r="EN20" s="305">
        <f>Ори!C78</f>
        <v>2777.0939900000003</v>
      </c>
      <c r="EO20" s="305">
        <f>Ори!D78</f>
        <v>2203.6188700000002</v>
      </c>
      <c r="EP20" s="298">
        <f t="shared" si="55"/>
        <v>79.349812355468757</v>
      </c>
      <c r="EQ20" s="305">
        <f>Ори!C83</f>
        <v>1819.1</v>
      </c>
      <c r="ER20" s="310">
        <f>Ори!D83</f>
        <v>1813.8714</v>
      </c>
      <c r="ES20" s="298">
        <f t="shared" si="12"/>
        <v>99.712572151063711</v>
      </c>
      <c r="ET20" s="298">
        <f>Ори!C85</f>
        <v>0</v>
      </c>
      <c r="EU20" s="298">
        <f>Ори!D85</f>
        <v>0</v>
      </c>
      <c r="EV20" s="298" t="e">
        <f t="shared" si="13"/>
        <v>#DIV/0!</v>
      </c>
      <c r="EW20" s="311">
        <f>Ори!C90</f>
        <v>44</v>
      </c>
      <c r="EX20" s="311">
        <f>Ори!D90</f>
        <v>44</v>
      </c>
      <c r="EY20" s="298">
        <f t="shared" si="56"/>
        <v>100</v>
      </c>
      <c r="EZ20" s="298">
        <f>Ори!C96</f>
        <v>0</v>
      </c>
      <c r="FA20" s="298">
        <f>Ори!D96</f>
        <v>0</v>
      </c>
      <c r="FB20" s="291" t="e">
        <f t="shared" si="57"/>
        <v>#DIV/0!</v>
      </c>
      <c r="FC20" s="418">
        <f t="shared" si="14"/>
        <v>-310.18125999999938</v>
      </c>
      <c r="FD20" s="418">
        <f t="shared" si="15"/>
        <v>1636.5421000000006</v>
      </c>
      <c r="FE20" s="291">
        <f t="shared" si="59"/>
        <v>-527.60830876759087</v>
      </c>
      <c r="FF20" s="159"/>
      <c r="FG20" s="160"/>
      <c r="FI20" s="160"/>
      <c r="FL20" s="162"/>
      <c r="FM20" s="162"/>
      <c r="FN20" s="162"/>
      <c r="FO20" s="162"/>
      <c r="FP20" s="162"/>
      <c r="FQ20" s="162"/>
      <c r="FR20" s="162"/>
      <c r="FS20" s="162"/>
      <c r="FT20" s="162"/>
    </row>
    <row r="21" spans="1:176" s="157" customFormat="1" ht="24.75" customHeight="1">
      <c r="A21" s="331">
        <v>8</v>
      </c>
      <c r="B21" s="333" t="s">
        <v>289</v>
      </c>
      <c r="C21" s="289">
        <f t="shared" si="16"/>
        <v>19228.123610000002</v>
      </c>
      <c r="D21" s="290">
        <f t="shared" si="0"/>
        <v>19214.441229999997</v>
      </c>
      <c r="E21" s="298">
        <f t="shared" si="1"/>
        <v>99.928841834608917</v>
      </c>
      <c r="F21" s="292">
        <f t="shared" si="17"/>
        <v>2608.9771700000001</v>
      </c>
      <c r="G21" s="292">
        <f t="shared" si="3"/>
        <v>2622.1947899999996</v>
      </c>
      <c r="H21" s="298">
        <f t="shared" si="18"/>
        <v>100.50662076126942</v>
      </c>
      <c r="I21" s="291">
        <f t="shared" si="19"/>
        <v>1933.92697</v>
      </c>
      <c r="J21" s="298"/>
      <c r="K21" s="298"/>
      <c r="L21" s="305">
        <f>Сят!C6</f>
        <v>162</v>
      </c>
      <c r="M21" s="383">
        <f>Сят!D6</f>
        <v>190.92481000000001</v>
      </c>
      <c r="N21" s="298">
        <f t="shared" si="20"/>
        <v>117.85482098765432</v>
      </c>
      <c r="O21" s="291">
        <f t="shared" si="4"/>
        <v>779.92696999999998</v>
      </c>
      <c r="P21" s="291">
        <f t="shared" si="5"/>
        <v>808.97937999999999</v>
      </c>
      <c r="Q21" s="298"/>
      <c r="R21" s="298">
        <f>Сят!C8</f>
        <v>350.88997000000001</v>
      </c>
      <c r="S21" s="298">
        <f>Сят!D8</f>
        <v>405.54705999999999</v>
      </c>
      <c r="T21" s="291">
        <f t="shared" si="21"/>
        <v>115.57670343213286</v>
      </c>
      <c r="U21" s="291">
        <f>Сят!C9</f>
        <v>2.7370000000000001</v>
      </c>
      <c r="V21" s="291">
        <f>Сят!D9</f>
        <v>2.1905800000000002</v>
      </c>
      <c r="W21" s="291">
        <f t="shared" si="22"/>
        <v>80.03580562659846</v>
      </c>
      <c r="X21" s="291">
        <f>Сят!C10</f>
        <v>426.3</v>
      </c>
      <c r="Y21" s="291">
        <f>Сят!D10</f>
        <v>447.76974999999999</v>
      </c>
      <c r="Z21" s="291">
        <f t="shared" si="23"/>
        <v>105.03630072718741</v>
      </c>
      <c r="AA21" s="291">
        <f>Сят!C11</f>
        <v>0</v>
      </c>
      <c r="AB21" s="295">
        <f>Сят!D11</f>
        <v>-46.528010000000002</v>
      </c>
      <c r="AC21" s="291" t="e">
        <f t="shared" si="24"/>
        <v>#DIV/0!</v>
      </c>
      <c r="AD21" s="305">
        <f>Сят!C13</f>
        <v>30</v>
      </c>
      <c r="AE21" s="305">
        <f>Сят!D13</f>
        <v>2.0487000000000002</v>
      </c>
      <c r="AF21" s="298">
        <f t="shared" si="25"/>
        <v>6.8290000000000006</v>
      </c>
      <c r="AG21" s="305">
        <f>Сят!C15</f>
        <v>198</v>
      </c>
      <c r="AH21" s="297">
        <f>Сят!D15</f>
        <v>199.17413999999999</v>
      </c>
      <c r="AI21" s="298">
        <f t="shared" si="26"/>
        <v>100.593</v>
      </c>
      <c r="AJ21" s="305">
        <f>Сят!C16</f>
        <v>760</v>
      </c>
      <c r="AK21" s="305">
        <f>Сят!D16</f>
        <v>715.00540000000001</v>
      </c>
      <c r="AL21" s="298">
        <f t="shared" si="6"/>
        <v>94.07965789473684</v>
      </c>
      <c r="AM21" s="298">
        <f>Сят!C18</f>
        <v>4</v>
      </c>
      <c r="AN21" s="298">
        <f>Сят!D18</f>
        <v>7.3</v>
      </c>
      <c r="AO21" s="298">
        <f t="shared" si="27"/>
        <v>182.5</v>
      </c>
      <c r="AP21" s="298">
        <f>Сят!C22</f>
        <v>0</v>
      </c>
      <c r="AQ21" s="298">
        <f>Сят!D20</f>
        <v>0</v>
      </c>
      <c r="AR21" s="298" t="e">
        <f t="shared" si="7"/>
        <v>#DIV/0!</v>
      </c>
      <c r="AS21" s="305">
        <v>0</v>
      </c>
      <c r="AT21" s="305">
        <v>0</v>
      </c>
      <c r="AU21" s="298" t="e">
        <f t="shared" si="8"/>
        <v>#DIV/0!</v>
      </c>
      <c r="AV21" s="305">
        <f>Сят!C27</f>
        <v>207.87064000000001</v>
      </c>
      <c r="AW21" s="306">
        <f>Сят!D27</f>
        <v>204.54</v>
      </c>
      <c r="AX21" s="298">
        <f t="shared" si="28"/>
        <v>98.397734283206134</v>
      </c>
      <c r="AY21" s="300">
        <f>Сят!C28</f>
        <v>6</v>
      </c>
      <c r="AZ21" s="306">
        <f>Сят!D28</f>
        <v>6.7737600000000002</v>
      </c>
      <c r="BA21" s="298">
        <f t="shared" si="29"/>
        <v>112.896</v>
      </c>
      <c r="BB21" s="305"/>
      <c r="BC21" s="305"/>
      <c r="BD21" s="298" t="e">
        <f t="shared" si="30"/>
        <v>#DIV/0!</v>
      </c>
      <c r="BE21" s="298">
        <f>Сят!C30</f>
        <v>10</v>
      </c>
      <c r="BF21" s="301">
        <f>Сят!D30</f>
        <v>7.5</v>
      </c>
      <c r="BG21" s="298">
        <f t="shared" si="31"/>
        <v>75</v>
      </c>
      <c r="BH21" s="298"/>
      <c r="BI21" s="298"/>
      <c r="BJ21" s="298"/>
      <c r="BK21" s="298">
        <f>Сят!C31</f>
        <v>13.4</v>
      </c>
      <c r="BL21" s="298">
        <f>SUM(Сят!D31)</f>
        <v>64.994699999999995</v>
      </c>
      <c r="BM21" s="298">
        <f t="shared" si="32"/>
        <v>485.03507462686565</v>
      </c>
      <c r="BN21" s="298"/>
      <c r="BO21" s="298"/>
      <c r="BP21" s="298" t="e">
        <f t="shared" si="33"/>
        <v>#DIV/0!</v>
      </c>
      <c r="BQ21" s="298"/>
      <c r="BR21" s="298"/>
      <c r="BS21" s="298"/>
      <c r="BT21" s="298">
        <f>Сят!C34</f>
        <v>0</v>
      </c>
      <c r="BU21" s="298">
        <f>Сят!D34</f>
        <v>0</v>
      </c>
      <c r="BV21" s="291" t="e">
        <f t="shared" si="34"/>
        <v>#DIV/0!</v>
      </c>
      <c r="BW21" s="298">
        <f>Сят!C36</f>
        <v>437.77956</v>
      </c>
      <c r="BX21" s="298">
        <f>Сят!D36</f>
        <v>414.95389999999998</v>
      </c>
      <c r="BY21" s="298">
        <f t="shared" si="35"/>
        <v>94.786037977652498</v>
      </c>
      <c r="BZ21" s="298"/>
      <c r="CA21" s="298"/>
      <c r="CB21" s="307" t="e">
        <f t="shared" si="36"/>
        <v>#DIV/0!</v>
      </c>
      <c r="CC21" s="307"/>
      <c r="CD21" s="307"/>
      <c r="CE21" s="307" t="e">
        <f t="shared" si="37"/>
        <v>#DIV/0!</v>
      </c>
      <c r="CF21" s="296">
        <f t="shared" si="38"/>
        <v>16619.14644</v>
      </c>
      <c r="CG21" s="296">
        <f t="shared" si="39"/>
        <v>16592.246439999999</v>
      </c>
      <c r="CH21" s="298">
        <f t="shared" si="58"/>
        <v>99.838138498284991</v>
      </c>
      <c r="CI21" s="298">
        <f>Сят!C41</f>
        <v>4849.2</v>
      </c>
      <c r="CJ21" s="298">
        <f>Сят!D41</f>
        <v>4849.2</v>
      </c>
      <c r="CK21" s="298">
        <f t="shared" si="40"/>
        <v>100</v>
      </c>
      <c r="CL21" s="298">
        <f>Сят!C42</f>
        <v>0</v>
      </c>
      <c r="CM21" s="389">
        <f>Сят!D42</f>
        <v>0</v>
      </c>
      <c r="CN21" s="298" t="e">
        <f t="shared" si="41"/>
        <v>#DIV/0!</v>
      </c>
      <c r="CO21" s="298">
        <f>Сят!C43</f>
        <v>10736.637360000001</v>
      </c>
      <c r="CP21" s="298">
        <f>Сят!D43</f>
        <v>10709.737359999999</v>
      </c>
      <c r="CQ21" s="298">
        <f t="shared" si="9"/>
        <v>99.749456006587138</v>
      </c>
      <c r="CR21" s="298">
        <f>Сят!C44</f>
        <v>266.97908999999999</v>
      </c>
      <c r="CS21" s="298">
        <f>Сят!D44</f>
        <v>266.97908999999999</v>
      </c>
      <c r="CT21" s="298">
        <f t="shared" si="10"/>
        <v>100</v>
      </c>
      <c r="CU21" s="298">
        <f>Сят!C48</f>
        <v>766.32998999999995</v>
      </c>
      <c r="CV21" s="298">
        <f>Сят!D48</f>
        <v>766.32998999999995</v>
      </c>
      <c r="CW21" s="291">
        <f t="shared" si="42"/>
        <v>100</v>
      </c>
      <c r="CX21" s="309">
        <f>Сят!C49</f>
        <v>0</v>
      </c>
      <c r="CY21" s="298">
        <f>Сят!D49</f>
        <v>0</v>
      </c>
      <c r="CZ21" s="298" t="e">
        <f t="shared" si="11"/>
        <v>#DIV/0!</v>
      </c>
      <c r="DA21" s="298"/>
      <c r="DB21" s="298">
        <f>Сят!D50</f>
        <v>0</v>
      </c>
      <c r="DC21" s="298"/>
      <c r="DD21" s="305"/>
      <c r="DE21" s="305"/>
      <c r="DF21" s="298" t="e">
        <f t="shared" si="43"/>
        <v>#DIV/0!</v>
      </c>
      <c r="DG21" s="298"/>
      <c r="DH21" s="298"/>
      <c r="DI21" s="298"/>
      <c r="DJ21" s="298"/>
      <c r="DK21" s="298"/>
      <c r="DL21" s="298"/>
      <c r="DM21" s="300">
        <f t="shared" si="44"/>
        <v>19887.452969999998</v>
      </c>
      <c r="DN21" s="300">
        <f t="shared" si="44"/>
        <v>19383.764020000002</v>
      </c>
      <c r="DO21" s="298">
        <f t="shared" si="45"/>
        <v>97.467302873023485</v>
      </c>
      <c r="DP21" s="305">
        <f t="shared" si="46"/>
        <v>1924.64084</v>
      </c>
      <c r="DQ21" s="305">
        <f>Сят!D56</f>
        <v>1770.5265400000001</v>
      </c>
      <c r="DR21" s="298">
        <f t="shared" si="47"/>
        <v>91.992568338100938</v>
      </c>
      <c r="DS21" s="298">
        <f>Сят!C58</f>
        <v>1830.51</v>
      </c>
      <c r="DT21" s="298">
        <f>Сят!D58</f>
        <v>1756.3957</v>
      </c>
      <c r="DU21" s="298">
        <f t="shared" si="48"/>
        <v>95.951166614768567</v>
      </c>
      <c r="DV21" s="298">
        <f>Сят!C61</f>
        <v>0</v>
      </c>
      <c r="DW21" s="298">
        <f>Сят!D61</f>
        <v>0</v>
      </c>
      <c r="DX21" s="298" t="e">
        <f t="shared" si="49"/>
        <v>#DIV/0!</v>
      </c>
      <c r="DY21" s="298">
        <f>Сят!C62</f>
        <v>10</v>
      </c>
      <c r="DZ21" s="298">
        <f>Сят!D62</f>
        <v>0</v>
      </c>
      <c r="EA21" s="298">
        <f t="shared" si="50"/>
        <v>0</v>
      </c>
      <c r="EB21" s="298">
        <f>Сят!C63</f>
        <v>84.130840000000006</v>
      </c>
      <c r="EC21" s="298">
        <f>Сят!D63</f>
        <v>14.130839999999999</v>
      </c>
      <c r="ED21" s="298">
        <f t="shared" si="51"/>
        <v>16.796266386975333</v>
      </c>
      <c r="EE21" s="298">
        <f>Сят!C65</f>
        <v>266.97908999999999</v>
      </c>
      <c r="EF21" s="298">
        <f>Сят!D65</f>
        <v>266.97908999999999</v>
      </c>
      <c r="EG21" s="298">
        <f t="shared" si="52"/>
        <v>100</v>
      </c>
      <c r="EH21" s="298">
        <f>Сят!C66</f>
        <v>12.5</v>
      </c>
      <c r="EI21" s="298">
        <f>Сят!D66</f>
        <v>11.87134</v>
      </c>
      <c r="EJ21" s="298">
        <f t="shared" si="53"/>
        <v>94.97072</v>
      </c>
      <c r="EK21" s="305">
        <f>Сят!C72</f>
        <v>6575.8638799999999</v>
      </c>
      <c r="EL21" s="305">
        <f>Сят!D72</f>
        <v>6540.8638700000001</v>
      </c>
      <c r="EM21" s="298">
        <f t="shared" si="54"/>
        <v>99.46775038780153</v>
      </c>
      <c r="EN21" s="305">
        <f>Сят!C77</f>
        <v>1271.33916</v>
      </c>
      <c r="EO21" s="305">
        <f>Сят!D77</f>
        <v>1020.83318</v>
      </c>
      <c r="EP21" s="298">
        <f t="shared" si="55"/>
        <v>80.295896808527473</v>
      </c>
      <c r="EQ21" s="305">
        <f>Сят!C81</f>
        <v>9821.1299999999992</v>
      </c>
      <c r="ER21" s="310">
        <f>Сят!D81</f>
        <v>9760.19</v>
      </c>
      <c r="ES21" s="298">
        <f t="shared" si="12"/>
        <v>99.379501136834563</v>
      </c>
      <c r="ET21" s="298">
        <f>Сят!C83</f>
        <v>0</v>
      </c>
      <c r="EU21" s="298">
        <f>Сят!D83</f>
        <v>0</v>
      </c>
      <c r="EV21" s="298" t="e">
        <f t="shared" si="13"/>
        <v>#DIV/0!</v>
      </c>
      <c r="EW21" s="311">
        <f>Сят!C88</f>
        <v>15</v>
      </c>
      <c r="EX21" s="311">
        <f>Сят!D88</f>
        <v>12.5</v>
      </c>
      <c r="EY21" s="298">
        <f t="shared" si="56"/>
        <v>83.333333333333343</v>
      </c>
      <c r="EZ21" s="298">
        <f>Сят!C94</f>
        <v>0</v>
      </c>
      <c r="FA21" s="298">
        <f>Сят!D94</f>
        <v>0</v>
      </c>
      <c r="FB21" s="291" t="e">
        <f t="shared" si="57"/>
        <v>#DIV/0!</v>
      </c>
      <c r="FC21" s="418">
        <f t="shared" si="14"/>
        <v>-659.32935999999609</v>
      </c>
      <c r="FD21" s="418">
        <f t="shared" si="15"/>
        <v>-169.32279000000563</v>
      </c>
      <c r="FE21" s="291">
        <f t="shared" si="59"/>
        <v>25.681063254942359</v>
      </c>
      <c r="FF21" s="159"/>
      <c r="FG21" s="160"/>
      <c r="FH21" s="162"/>
      <c r="FI21" s="160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</row>
    <row r="22" spans="1:176" s="169" customFormat="1" ht="22.5" customHeight="1">
      <c r="A22" s="334">
        <v>9</v>
      </c>
      <c r="B22" s="335" t="s">
        <v>290</v>
      </c>
      <c r="C22" s="314">
        <f>F22+CF22</f>
        <v>11326.064779999999</v>
      </c>
      <c r="D22" s="315">
        <f t="shared" si="0"/>
        <v>12009.552879999999</v>
      </c>
      <c r="E22" s="301">
        <f t="shared" si="1"/>
        <v>106.0346476316022</v>
      </c>
      <c r="F22" s="292">
        <f t="shared" si="17"/>
        <v>2874.0152000000003</v>
      </c>
      <c r="G22" s="316">
        <f t="shared" si="3"/>
        <v>3557.53586</v>
      </c>
      <c r="H22" s="301">
        <f t="shared" si="18"/>
        <v>123.78277818433247</v>
      </c>
      <c r="I22" s="291">
        <f t="shared" si="19"/>
        <v>1837.2266399999999</v>
      </c>
      <c r="J22" s="301"/>
      <c r="K22" s="301"/>
      <c r="L22" s="300">
        <f>Тор!C6</f>
        <v>159</v>
      </c>
      <c r="M22" s="383">
        <f>Тор!D6</f>
        <v>173.74345</v>
      </c>
      <c r="N22" s="301">
        <f t="shared" si="20"/>
        <v>109.27261006289308</v>
      </c>
      <c r="O22" s="291">
        <f t="shared" si="4"/>
        <v>938.22663999999997</v>
      </c>
      <c r="P22" s="291">
        <f t="shared" si="5"/>
        <v>1084.2337699999998</v>
      </c>
      <c r="Q22" s="301"/>
      <c r="R22" s="301">
        <f>Тор!C8</f>
        <v>363.20564000000002</v>
      </c>
      <c r="S22" s="301">
        <f>Тор!D8</f>
        <v>543.53403000000003</v>
      </c>
      <c r="T22" s="301">
        <f t="shared" si="21"/>
        <v>149.64911613156667</v>
      </c>
      <c r="U22" s="301">
        <f>Тор!C9</f>
        <v>3.6680000000000001</v>
      </c>
      <c r="V22" s="301">
        <f>Тор!D9</f>
        <v>2.9359299999999999</v>
      </c>
      <c r="W22" s="301">
        <f t="shared" si="22"/>
        <v>80.041712104689196</v>
      </c>
      <c r="X22" s="301">
        <f>Тор!C10</f>
        <v>571.35299999999995</v>
      </c>
      <c r="Y22" s="301">
        <f>Тор!D10</f>
        <v>600.12294999999995</v>
      </c>
      <c r="Z22" s="301">
        <f t="shared" si="23"/>
        <v>105.0354071825999</v>
      </c>
      <c r="AA22" s="301">
        <f>Тор!C11</f>
        <v>0</v>
      </c>
      <c r="AB22" s="317">
        <f>Тор!D11</f>
        <v>-62.359139999999996</v>
      </c>
      <c r="AC22" s="301" t="e">
        <f t="shared" si="24"/>
        <v>#DIV/0!</v>
      </c>
      <c r="AD22" s="300">
        <f>Тор!C13</f>
        <v>30</v>
      </c>
      <c r="AE22" s="300">
        <f>Тор!D13</f>
        <v>5.9820000000000002</v>
      </c>
      <c r="AF22" s="301">
        <f t="shared" si="25"/>
        <v>19.939999999999998</v>
      </c>
      <c r="AG22" s="300">
        <f>Тор!C15</f>
        <v>247</v>
      </c>
      <c r="AH22" s="297">
        <f>Тор!D15</f>
        <v>179.51551000000001</v>
      </c>
      <c r="AI22" s="301">
        <f t="shared" si="26"/>
        <v>72.67834412955466</v>
      </c>
      <c r="AJ22" s="300">
        <f>Тор!C16</f>
        <v>455</v>
      </c>
      <c r="AK22" s="300">
        <f>Тор!D16</f>
        <v>427.03435999999999</v>
      </c>
      <c r="AL22" s="301">
        <f t="shared" si="6"/>
        <v>93.85370549450549</v>
      </c>
      <c r="AM22" s="301">
        <f>Тор!C18</f>
        <v>8</v>
      </c>
      <c r="AN22" s="301">
        <f>Тор!D18</f>
        <v>6.1</v>
      </c>
      <c r="AO22" s="301">
        <f t="shared" si="27"/>
        <v>76.25</v>
      </c>
      <c r="AP22" s="301"/>
      <c r="AQ22" s="301">
        <f>Тор!D20</f>
        <v>0</v>
      </c>
      <c r="AR22" s="301" t="e">
        <f t="shared" si="7"/>
        <v>#DIV/0!</v>
      </c>
      <c r="AS22" s="300">
        <v>0</v>
      </c>
      <c r="AT22" s="300">
        <v>0</v>
      </c>
      <c r="AU22" s="301" t="e">
        <f t="shared" si="8"/>
        <v>#DIV/0!</v>
      </c>
      <c r="AV22" s="300">
        <f>Тор!C27</f>
        <v>320</v>
      </c>
      <c r="AW22" s="297">
        <f>Тор!D27</f>
        <v>488.11329999999998</v>
      </c>
      <c r="AX22" s="301">
        <f t="shared" si="28"/>
        <v>152.53540624999999</v>
      </c>
      <c r="AY22" s="300">
        <f>Тор!C28</f>
        <v>30</v>
      </c>
      <c r="AZ22" s="297">
        <f>Тор!D28</f>
        <v>80.440780000000004</v>
      </c>
      <c r="BA22" s="301">
        <f t="shared" si="29"/>
        <v>268.13593333333336</v>
      </c>
      <c r="BB22" s="300"/>
      <c r="BC22" s="300"/>
      <c r="BD22" s="301" t="e">
        <f t="shared" si="30"/>
        <v>#DIV/0!</v>
      </c>
      <c r="BE22" s="301">
        <f>Тор!C29</f>
        <v>130</v>
      </c>
      <c r="BF22" s="301">
        <f>Тор!D29</f>
        <v>137.39689000000001</v>
      </c>
      <c r="BG22" s="301">
        <f t="shared" si="31"/>
        <v>105.68991538461539</v>
      </c>
      <c r="BH22" s="301"/>
      <c r="BI22" s="301"/>
      <c r="BJ22" s="301"/>
      <c r="BK22" s="301">
        <f>Тор!C34+Тор!C33</f>
        <v>32.252499999999998</v>
      </c>
      <c r="BL22" s="301">
        <f>Тор!D32</f>
        <v>32.252499999999998</v>
      </c>
      <c r="BM22" s="301">
        <f t="shared" si="32"/>
        <v>100</v>
      </c>
      <c r="BN22" s="301"/>
      <c r="BO22" s="301"/>
      <c r="BP22" s="301" t="e">
        <f t="shared" si="33"/>
        <v>#DIV/0!</v>
      </c>
      <c r="BQ22" s="301"/>
      <c r="BR22" s="301"/>
      <c r="BS22" s="301"/>
      <c r="BT22" s="301">
        <f>Тор!C35</f>
        <v>10.63425</v>
      </c>
      <c r="BU22" s="301">
        <f>Тор!D35</f>
        <v>27.535329999999998</v>
      </c>
      <c r="BV22" s="291">
        <f t="shared" si="34"/>
        <v>258.93062510285165</v>
      </c>
      <c r="BW22" s="301">
        <f>Тор!C37</f>
        <v>513.90180999999995</v>
      </c>
      <c r="BX22" s="301">
        <f>Тор!D37</f>
        <v>915.18796999999995</v>
      </c>
      <c r="BY22" s="301">
        <f t="shared" si="35"/>
        <v>178.08615424024291</v>
      </c>
      <c r="BZ22" s="301"/>
      <c r="CA22" s="301"/>
      <c r="CB22" s="318" t="e">
        <f t="shared" si="36"/>
        <v>#DIV/0!</v>
      </c>
      <c r="CC22" s="318"/>
      <c r="CD22" s="318"/>
      <c r="CE22" s="318" t="e">
        <f t="shared" si="37"/>
        <v>#DIV/0!</v>
      </c>
      <c r="CF22" s="300">
        <f t="shared" si="38"/>
        <v>8452.049579999999</v>
      </c>
      <c r="CG22" s="296">
        <f t="shared" si="39"/>
        <v>8452.0170199999993</v>
      </c>
      <c r="CH22" s="301">
        <f t="shared" si="58"/>
        <v>99.999614767995723</v>
      </c>
      <c r="CI22" s="301">
        <f>Тор!C42</f>
        <v>2338.6999999999998</v>
      </c>
      <c r="CJ22" s="301">
        <f>Тор!D42</f>
        <v>2338.6999999999998</v>
      </c>
      <c r="CK22" s="301">
        <f t="shared" si="40"/>
        <v>100</v>
      </c>
      <c r="CL22" s="301">
        <f>Тор!C43</f>
        <v>0</v>
      </c>
      <c r="CM22" s="390">
        <f>Тор!D43</f>
        <v>0</v>
      </c>
      <c r="CN22" s="301" t="e">
        <f t="shared" si="41"/>
        <v>#DIV/0!</v>
      </c>
      <c r="CO22" s="301">
        <f>Тор!C44</f>
        <v>4937.9274500000001</v>
      </c>
      <c r="CP22" s="301">
        <f>Тор!D44</f>
        <v>4937.9274500000001</v>
      </c>
      <c r="CQ22" s="301">
        <f t="shared" si="9"/>
        <v>100</v>
      </c>
      <c r="CR22" s="301">
        <f>Тор!C45</f>
        <v>110.18913000000001</v>
      </c>
      <c r="CS22" s="301">
        <f>Тор!D45</f>
        <v>110.18913000000001</v>
      </c>
      <c r="CT22" s="301">
        <f t="shared" si="10"/>
        <v>100</v>
      </c>
      <c r="CU22" s="301">
        <f>Тор!C46</f>
        <v>1065.2329999999999</v>
      </c>
      <c r="CV22" s="301">
        <f>Тор!D46</f>
        <v>1065.2004400000001</v>
      </c>
      <c r="CW22" s="291">
        <f t="shared" si="42"/>
        <v>99.996943391727456</v>
      </c>
      <c r="CX22" s="317">
        <f>Тор!C48</f>
        <v>0</v>
      </c>
      <c r="CY22" s="301">
        <f>Тор!D48</f>
        <v>0</v>
      </c>
      <c r="CZ22" s="301" t="e">
        <f t="shared" si="11"/>
        <v>#DIV/0!</v>
      </c>
      <c r="DA22" s="301"/>
      <c r="DB22" s="301">
        <f>Тор!D49</f>
        <v>0</v>
      </c>
      <c r="DC22" s="301"/>
      <c r="DD22" s="300"/>
      <c r="DE22" s="300"/>
      <c r="DF22" s="301" t="e">
        <f t="shared" si="43"/>
        <v>#DIV/0!</v>
      </c>
      <c r="DG22" s="301"/>
      <c r="DH22" s="301"/>
      <c r="DI22" s="301"/>
      <c r="DJ22" s="301"/>
      <c r="DK22" s="301"/>
      <c r="DL22" s="301"/>
      <c r="DM22" s="300">
        <f t="shared" si="44"/>
        <v>11856.092259999999</v>
      </c>
      <c r="DN22" s="300">
        <f t="shared" si="44"/>
        <v>11659.78177</v>
      </c>
      <c r="DO22" s="301">
        <f t="shared" si="45"/>
        <v>98.344222651992084</v>
      </c>
      <c r="DP22" s="300">
        <f t="shared" si="46"/>
        <v>1352.6250599999998</v>
      </c>
      <c r="DQ22" s="300">
        <f t="shared" si="46"/>
        <v>1336.08367</v>
      </c>
      <c r="DR22" s="301">
        <f t="shared" si="47"/>
        <v>98.777089787172812</v>
      </c>
      <c r="DS22" s="301">
        <f>Тор!C58</f>
        <v>1347.6690599999999</v>
      </c>
      <c r="DT22" s="301">
        <f>Тор!D58</f>
        <v>1332.1276700000001</v>
      </c>
      <c r="DU22" s="301">
        <f t="shared" si="48"/>
        <v>98.846794776159669</v>
      </c>
      <c r="DV22" s="301">
        <f>Тор!C61</f>
        <v>0</v>
      </c>
      <c r="DW22" s="301">
        <f>Тор!D61</f>
        <v>0</v>
      </c>
      <c r="DX22" s="301" t="e">
        <f t="shared" si="49"/>
        <v>#DIV/0!</v>
      </c>
      <c r="DY22" s="301">
        <f>Тор!C62</f>
        <v>1</v>
      </c>
      <c r="DZ22" s="301">
        <f>Тор!D62</f>
        <v>0</v>
      </c>
      <c r="EA22" s="301">
        <f t="shared" si="50"/>
        <v>0</v>
      </c>
      <c r="EB22" s="301">
        <f>Тор!C63</f>
        <v>3.956</v>
      </c>
      <c r="EC22" s="301">
        <f>Тор!D63</f>
        <v>3.956</v>
      </c>
      <c r="ED22" s="301">
        <f t="shared" si="51"/>
        <v>100</v>
      </c>
      <c r="EE22" s="301">
        <f>Тор!C65</f>
        <v>110.18913000000001</v>
      </c>
      <c r="EF22" s="301">
        <f>+Тор!D64</f>
        <v>110.18913000000001</v>
      </c>
      <c r="EG22" s="301">
        <f t="shared" si="52"/>
        <v>100</v>
      </c>
      <c r="EH22" s="301">
        <f>Тор!C66</f>
        <v>7.6313399999999998</v>
      </c>
      <c r="EI22" s="301">
        <f>Тор!D66</f>
        <v>7.6313399999999998</v>
      </c>
      <c r="EJ22" s="301">
        <f t="shared" si="53"/>
        <v>100</v>
      </c>
      <c r="EK22" s="300">
        <f>Тор!C72</f>
        <v>5377.79259</v>
      </c>
      <c r="EL22" s="300">
        <f>Тор!D72</f>
        <v>5328.9064600000002</v>
      </c>
      <c r="EM22" s="301">
        <f t="shared" si="54"/>
        <v>99.090962896358192</v>
      </c>
      <c r="EN22" s="300">
        <f>Тор!C78</f>
        <v>3897.7041399999998</v>
      </c>
      <c r="EO22" s="300">
        <f>Тор!D78</f>
        <v>3782.8211700000002</v>
      </c>
      <c r="EP22" s="301">
        <f t="shared" si="55"/>
        <v>97.052547708251666</v>
      </c>
      <c r="EQ22" s="300">
        <f>Тор!C82</f>
        <v>1099.1500000000001</v>
      </c>
      <c r="ER22" s="319">
        <f>Тор!D82</f>
        <v>1083.1500000000001</v>
      </c>
      <c r="ES22" s="301">
        <f t="shared" si="12"/>
        <v>98.544329709320849</v>
      </c>
      <c r="ET22" s="301">
        <f>Тор!C84</f>
        <v>9</v>
      </c>
      <c r="EU22" s="301">
        <f>Тор!D84</f>
        <v>9</v>
      </c>
      <c r="EV22" s="301">
        <f t="shared" si="13"/>
        <v>100</v>
      </c>
      <c r="EW22" s="316">
        <f>Тор!C96</f>
        <v>2</v>
      </c>
      <c r="EX22" s="316">
        <f>Тор!D96</f>
        <v>2</v>
      </c>
      <c r="EY22" s="301">
        <f t="shared" si="56"/>
        <v>100</v>
      </c>
      <c r="EZ22" s="301">
        <f>Тор!C94</f>
        <v>0</v>
      </c>
      <c r="FA22" s="301">
        <f>Тор!D94</f>
        <v>0</v>
      </c>
      <c r="FB22" s="301" t="e">
        <f t="shared" si="57"/>
        <v>#DIV/0!</v>
      </c>
      <c r="FC22" s="419">
        <f t="shared" si="14"/>
        <v>-530.02748000000065</v>
      </c>
      <c r="FD22" s="419">
        <f t="shared" si="15"/>
        <v>349.77110999999968</v>
      </c>
      <c r="FE22" s="301">
        <f t="shared" si="59"/>
        <v>-65.991127478899642</v>
      </c>
      <c r="FF22" s="167"/>
      <c r="FG22" s="168"/>
      <c r="FI22" s="168"/>
      <c r="FL22" s="207"/>
      <c r="FM22" s="207"/>
      <c r="FN22" s="207"/>
      <c r="FO22" s="207"/>
      <c r="FP22" s="207"/>
      <c r="FQ22" s="207"/>
      <c r="FR22" s="207"/>
      <c r="FS22" s="207"/>
      <c r="FT22" s="207"/>
    </row>
    <row r="23" spans="1:176" s="157" customFormat="1" ht="23.25" customHeight="1">
      <c r="A23" s="331">
        <v>10</v>
      </c>
      <c r="B23" s="333" t="s">
        <v>291</v>
      </c>
      <c r="C23" s="289">
        <f t="shared" si="16"/>
        <v>12584.72876</v>
      </c>
      <c r="D23" s="290">
        <f t="shared" si="0"/>
        <v>12865.07963</v>
      </c>
      <c r="E23" s="298">
        <f t="shared" si="1"/>
        <v>102.2277068925878</v>
      </c>
      <c r="F23" s="292">
        <f t="shared" si="17"/>
        <v>1935.7251599999997</v>
      </c>
      <c r="G23" s="292">
        <f t="shared" si="3"/>
        <v>2216.0760300000002</v>
      </c>
      <c r="H23" s="298">
        <f t="shared" si="18"/>
        <v>114.48298941364179</v>
      </c>
      <c r="I23" s="291">
        <f t="shared" si="19"/>
        <v>1139.73</v>
      </c>
      <c r="J23" s="298"/>
      <c r="K23" s="298"/>
      <c r="L23" s="305">
        <f>Хор!C6</f>
        <v>111</v>
      </c>
      <c r="M23" s="383">
        <f>Хор!D6</f>
        <v>86.457999999999998</v>
      </c>
      <c r="N23" s="298">
        <f t="shared" si="20"/>
        <v>77.890090090090098</v>
      </c>
      <c r="O23" s="291">
        <f t="shared" si="4"/>
        <v>428.73</v>
      </c>
      <c r="P23" s="291">
        <f t="shared" si="5"/>
        <v>506.87091000000004</v>
      </c>
      <c r="Q23" s="298"/>
      <c r="R23" s="298">
        <f>Хор!C8</f>
        <v>159.916</v>
      </c>
      <c r="S23" s="298">
        <f>Хор!D8</f>
        <v>254.09796</v>
      </c>
      <c r="T23" s="291">
        <f t="shared" si="21"/>
        <v>158.89464468846143</v>
      </c>
      <c r="U23" s="291">
        <f>Хор!C9</f>
        <v>1.7150000000000001</v>
      </c>
      <c r="V23" s="291">
        <f>Хор!D9</f>
        <v>1.37252</v>
      </c>
      <c r="W23" s="291">
        <f t="shared" si="22"/>
        <v>80.03032069970844</v>
      </c>
      <c r="X23" s="291">
        <f>Хор!C10</f>
        <v>267.09899999999999</v>
      </c>
      <c r="Y23" s="291">
        <f>Хор!D10</f>
        <v>280.55284</v>
      </c>
      <c r="Z23" s="291">
        <f t="shared" si="23"/>
        <v>105.03702372528538</v>
      </c>
      <c r="AA23" s="291">
        <f>Хор!C11</f>
        <v>0</v>
      </c>
      <c r="AB23" s="295">
        <f>Хор!D11</f>
        <v>-29.15241</v>
      </c>
      <c r="AC23" s="291" t="e">
        <f t="shared" si="24"/>
        <v>#DIV/0!</v>
      </c>
      <c r="AD23" s="305">
        <f>Хор!C13</f>
        <v>10</v>
      </c>
      <c r="AE23" s="305">
        <f>Хор!D13</f>
        <v>1.0918099999999999</v>
      </c>
      <c r="AF23" s="298">
        <f t="shared" si="25"/>
        <v>10.918100000000001</v>
      </c>
      <c r="AG23" s="305">
        <f>Хор!C15</f>
        <v>271</v>
      </c>
      <c r="AH23" s="297">
        <f>Хор!D15</f>
        <v>201.58349999999999</v>
      </c>
      <c r="AI23" s="298">
        <f t="shared" si="26"/>
        <v>74.3850553505535</v>
      </c>
      <c r="AJ23" s="305">
        <f>Хор!C16</f>
        <v>314</v>
      </c>
      <c r="AK23" s="305">
        <f>Хор!D16</f>
        <v>323.87513999999999</v>
      </c>
      <c r="AL23" s="298">
        <f t="shared" si="6"/>
        <v>103.14494904458597</v>
      </c>
      <c r="AM23" s="298">
        <f>Хор!C18</f>
        <v>5</v>
      </c>
      <c r="AN23" s="298">
        <f>Хор!D18</f>
        <v>5.5</v>
      </c>
      <c r="AO23" s="298">
        <f t="shared" si="27"/>
        <v>110.00000000000001</v>
      </c>
      <c r="AP23" s="298"/>
      <c r="AQ23" s="298"/>
      <c r="AR23" s="298" t="e">
        <f t="shared" si="7"/>
        <v>#DIV/0!</v>
      </c>
      <c r="AS23" s="305">
        <v>0</v>
      </c>
      <c r="AT23" s="305">
        <v>0</v>
      </c>
      <c r="AU23" s="298" t="e">
        <f t="shared" si="8"/>
        <v>#DIV/0!</v>
      </c>
      <c r="AV23" s="305">
        <f>Хор!C25</f>
        <v>30</v>
      </c>
      <c r="AW23" s="306">
        <f>Хор!D25</f>
        <v>23.953299999999999</v>
      </c>
      <c r="AX23" s="298">
        <f t="shared" si="28"/>
        <v>79.844333333333324</v>
      </c>
      <c r="AY23" s="300">
        <f>Хор!C26</f>
        <v>0</v>
      </c>
      <c r="AZ23" s="306">
        <f>Хор!D26</f>
        <v>0</v>
      </c>
      <c r="BA23" s="298" t="e">
        <f t="shared" si="29"/>
        <v>#DIV/0!</v>
      </c>
      <c r="BB23" s="305"/>
      <c r="BC23" s="305"/>
      <c r="BD23" s="298" t="e">
        <f t="shared" si="30"/>
        <v>#DIV/0!</v>
      </c>
      <c r="BE23" s="298">
        <f>Хор!C27</f>
        <v>0</v>
      </c>
      <c r="BF23" s="301">
        <f>Хор!D27</f>
        <v>8.3529999999999993E-2</v>
      </c>
      <c r="BG23" s="298" t="e">
        <f t="shared" si="31"/>
        <v>#DIV/0!</v>
      </c>
      <c r="BH23" s="298"/>
      <c r="BI23" s="298"/>
      <c r="BJ23" s="298"/>
      <c r="BK23" s="298">
        <f>Хор!C31</f>
        <v>0</v>
      </c>
      <c r="BL23" s="298">
        <f>Хор!D31</f>
        <v>0</v>
      </c>
      <c r="BM23" s="298" t="e">
        <f t="shared" si="32"/>
        <v>#DIV/0!</v>
      </c>
      <c r="BN23" s="298"/>
      <c r="BO23" s="298"/>
      <c r="BP23" s="298" t="e">
        <f t="shared" si="33"/>
        <v>#DIV/0!</v>
      </c>
      <c r="BQ23" s="298"/>
      <c r="BR23" s="298"/>
      <c r="BS23" s="298"/>
      <c r="BT23" s="298"/>
      <c r="BU23" s="298">
        <f>Хор!D32</f>
        <v>0.86636000000000002</v>
      </c>
      <c r="BV23" s="291" t="e">
        <f t="shared" si="34"/>
        <v>#DIV/0!</v>
      </c>
      <c r="BW23" s="298">
        <f>Хор!C33</f>
        <v>765.99516000000006</v>
      </c>
      <c r="BX23" s="298">
        <f>Хор!D33</f>
        <v>1065.79348</v>
      </c>
      <c r="BY23" s="298">
        <f t="shared" si="35"/>
        <v>139.1384091774157</v>
      </c>
      <c r="BZ23" s="298"/>
      <c r="CA23" s="298"/>
      <c r="CB23" s="307" t="e">
        <f t="shared" si="36"/>
        <v>#DIV/0!</v>
      </c>
      <c r="CC23" s="307"/>
      <c r="CD23" s="307"/>
      <c r="CE23" s="307" t="e">
        <f t="shared" si="37"/>
        <v>#DIV/0!</v>
      </c>
      <c r="CF23" s="296">
        <f t="shared" si="38"/>
        <v>10649.0036</v>
      </c>
      <c r="CG23" s="296">
        <f>CJ23+CM23+CP23+CS23+CY23+CV23+DB23</f>
        <v>10649.0036</v>
      </c>
      <c r="CH23" s="298">
        <f t="shared" si="58"/>
        <v>100</v>
      </c>
      <c r="CI23" s="298">
        <f>Хор!C38</f>
        <v>2095.3000000000002</v>
      </c>
      <c r="CJ23" s="298">
        <f>Хор!D38</f>
        <v>2095.3000000000002</v>
      </c>
      <c r="CK23" s="298">
        <f t="shared" si="40"/>
        <v>100</v>
      </c>
      <c r="CL23" s="298">
        <f>Хор!C40</f>
        <v>0</v>
      </c>
      <c r="CM23" s="389">
        <f>Хор!D40</f>
        <v>0</v>
      </c>
      <c r="CN23" s="298" t="e">
        <f t="shared" si="41"/>
        <v>#DIV/0!</v>
      </c>
      <c r="CO23" s="298">
        <f>Хор!C41</f>
        <v>5392.4916499999999</v>
      </c>
      <c r="CP23" s="298">
        <f>Хор!D41</f>
        <v>5392.4916499999999</v>
      </c>
      <c r="CQ23" s="298">
        <f t="shared" si="9"/>
        <v>100</v>
      </c>
      <c r="CR23" s="298">
        <f>Хор!C42</f>
        <v>96.750470000000007</v>
      </c>
      <c r="CS23" s="298">
        <f>Хор!D42</f>
        <v>96.750470000000007</v>
      </c>
      <c r="CT23" s="298">
        <f t="shared" si="10"/>
        <v>100</v>
      </c>
      <c r="CU23" s="298">
        <f>Хор!C43</f>
        <v>3064.4614799999999</v>
      </c>
      <c r="CV23" s="298">
        <f>Хор!D43</f>
        <v>3064.4614799999999</v>
      </c>
      <c r="CW23" s="291">
        <f t="shared" si="42"/>
        <v>100</v>
      </c>
      <c r="CX23" s="309">
        <f>Хор!C44</f>
        <v>0</v>
      </c>
      <c r="CY23" s="298">
        <f>Хор!D44</f>
        <v>0</v>
      </c>
      <c r="CZ23" s="298" t="e">
        <f t="shared" si="11"/>
        <v>#DIV/0!</v>
      </c>
      <c r="DA23" s="298"/>
      <c r="DB23" s="298"/>
      <c r="DC23" s="298"/>
      <c r="DD23" s="305"/>
      <c r="DE23" s="305"/>
      <c r="DF23" s="298" t="e">
        <f t="shared" si="43"/>
        <v>#DIV/0!</v>
      </c>
      <c r="DG23" s="298"/>
      <c r="DH23" s="298"/>
      <c r="DI23" s="298"/>
      <c r="DJ23" s="298"/>
      <c r="DK23" s="298">
        <f>Хор!D47</f>
        <v>0</v>
      </c>
      <c r="DL23" s="298"/>
      <c r="DM23" s="300">
        <f t="shared" si="44"/>
        <v>12647.385039999999</v>
      </c>
      <c r="DN23" s="300">
        <f t="shared" si="44"/>
        <v>12613.36629</v>
      </c>
      <c r="DO23" s="298">
        <f t="shared" si="45"/>
        <v>99.731021472878325</v>
      </c>
      <c r="DP23" s="305">
        <f t="shared" si="46"/>
        <v>1527.2872</v>
      </c>
      <c r="DQ23" s="305">
        <f t="shared" si="46"/>
        <v>1505.95272</v>
      </c>
      <c r="DR23" s="298">
        <f t="shared" si="47"/>
        <v>98.603112760979073</v>
      </c>
      <c r="DS23" s="298">
        <f>Хор!C55</f>
        <v>1523.1351999999999</v>
      </c>
      <c r="DT23" s="298">
        <f>Хор!D55</f>
        <v>1502.80072</v>
      </c>
      <c r="DU23" s="298">
        <f t="shared" si="48"/>
        <v>98.664958960964199</v>
      </c>
      <c r="DV23" s="298">
        <f>Хор!C58</f>
        <v>0</v>
      </c>
      <c r="DW23" s="298">
        <f>Хор!D58</f>
        <v>0</v>
      </c>
      <c r="DX23" s="298" t="e">
        <f t="shared" si="49"/>
        <v>#DIV/0!</v>
      </c>
      <c r="DY23" s="298">
        <f>Хор!C59</f>
        <v>1</v>
      </c>
      <c r="DZ23" s="298">
        <f>Хор!D59</f>
        <v>0</v>
      </c>
      <c r="EA23" s="298">
        <f t="shared" si="50"/>
        <v>0</v>
      </c>
      <c r="EB23" s="298">
        <f>Хор!C60</f>
        <v>3.1520000000000001</v>
      </c>
      <c r="EC23" s="298">
        <f>Хор!D60</f>
        <v>3.1520000000000001</v>
      </c>
      <c r="ED23" s="298">
        <f t="shared" si="51"/>
        <v>100</v>
      </c>
      <c r="EE23" s="298">
        <f>Хор!C62</f>
        <v>96.750470000000007</v>
      </c>
      <c r="EF23" s="298">
        <f>Хор!D62</f>
        <v>96.750470000000007</v>
      </c>
      <c r="EG23" s="298">
        <f t="shared" si="52"/>
        <v>100</v>
      </c>
      <c r="EH23" s="298">
        <f>Хор!C63</f>
        <v>7.6513399999999994</v>
      </c>
      <c r="EI23" s="298">
        <f>Хор!D63</f>
        <v>7.6513399999999994</v>
      </c>
      <c r="EJ23" s="298">
        <f t="shared" si="53"/>
        <v>100</v>
      </c>
      <c r="EK23" s="305">
        <f>Хор!C69</f>
        <v>1284.1928499999999</v>
      </c>
      <c r="EL23" s="305">
        <f>Хор!D69</f>
        <v>1271.5085799999999</v>
      </c>
      <c r="EM23" s="298">
        <f t="shared" si="54"/>
        <v>99.012276855458282</v>
      </c>
      <c r="EN23" s="305">
        <f>Хор!C74</f>
        <v>8968.17029</v>
      </c>
      <c r="EO23" s="305">
        <f>Хор!D74</f>
        <v>8968.17029</v>
      </c>
      <c r="EP23" s="298">
        <f t="shared" si="55"/>
        <v>100</v>
      </c>
      <c r="EQ23" s="305">
        <f>Хор!C78</f>
        <v>758.33289000000002</v>
      </c>
      <c r="ER23" s="310">
        <f>Хор!D78</f>
        <v>758.33289000000002</v>
      </c>
      <c r="ES23" s="298">
        <f t="shared" si="12"/>
        <v>100</v>
      </c>
      <c r="ET23" s="298">
        <f>Хор!C80</f>
        <v>0</v>
      </c>
      <c r="EU23" s="298">
        <f>Хор!D80</f>
        <v>0</v>
      </c>
      <c r="EV23" s="298" t="e">
        <f t="shared" si="13"/>
        <v>#DIV/0!</v>
      </c>
      <c r="EW23" s="311">
        <f>Хор!C85</f>
        <v>5</v>
      </c>
      <c r="EX23" s="311">
        <f>Хор!D85</f>
        <v>5</v>
      </c>
      <c r="EY23" s="298">
        <f t="shared" si="56"/>
        <v>100</v>
      </c>
      <c r="EZ23" s="298">
        <f>Хор!C91</f>
        <v>0</v>
      </c>
      <c r="FA23" s="298">
        <f>Хор!D91</f>
        <v>0</v>
      </c>
      <c r="FB23" s="291" t="e">
        <f t="shared" si="57"/>
        <v>#DIV/0!</v>
      </c>
      <c r="FC23" s="418">
        <f t="shared" si="14"/>
        <v>-62.656279999999242</v>
      </c>
      <c r="FD23" s="418">
        <f t="shared" si="15"/>
        <v>251.71334000000024</v>
      </c>
      <c r="FE23" s="291">
        <f t="shared" si="59"/>
        <v>-401.73680914347818</v>
      </c>
      <c r="FF23" s="159"/>
      <c r="FG23" s="160"/>
      <c r="FI23" s="160"/>
    </row>
    <row r="24" spans="1:176" s="250" customFormat="1" ht="25.5" customHeight="1">
      <c r="A24" s="336">
        <v>11</v>
      </c>
      <c r="B24" s="333" t="s">
        <v>292</v>
      </c>
      <c r="C24" s="312">
        <f t="shared" si="16"/>
        <v>8308.3483500000002</v>
      </c>
      <c r="D24" s="290">
        <f t="shared" si="0"/>
        <v>8478.5758900000001</v>
      </c>
      <c r="E24" s="298">
        <f t="shared" si="1"/>
        <v>102.04887340815458</v>
      </c>
      <c r="F24" s="292">
        <f t="shared" si="17"/>
        <v>1380.94588</v>
      </c>
      <c r="G24" s="311">
        <f t="shared" si="3"/>
        <v>1611.4984199999999</v>
      </c>
      <c r="H24" s="298">
        <f t="shared" si="18"/>
        <v>116.69526252542207</v>
      </c>
      <c r="I24" s="291">
        <f t="shared" si="19"/>
        <v>1122.556</v>
      </c>
      <c r="J24" s="298"/>
      <c r="K24" s="298"/>
      <c r="L24" s="305">
        <f>Чум!C6</f>
        <v>93</v>
      </c>
      <c r="M24" s="383">
        <f>Чум!D6</f>
        <v>109.58056999999999</v>
      </c>
      <c r="N24" s="298">
        <f t="shared" si="20"/>
        <v>117.82856989247313</v>
      </c>
      <c r="O24" s="291">
        <f t="shared" si="4"/>
        <v>528.86</v>
      </c>
      <c r="P24" s="291">
        <f t="shared" si="5"/>
        <v>483.37358</v>
      </c>
      <c r="Q24" s="298"/>
      <c r="R24" s="298">
        <f>Чум!C8</f>
        <v>272.505</v>
      </c>
      <c r="S24" s="298">
        <f>Чум!D8</f>
        <v>242.31856999999999</v>
      </c>
      <c r="T24" s="298">
        <f t="shared" si="21"/>
        <v>88.922614263958451</v>
      </c>
      <c r="U24" s="298">
        <f>Чум!C9</f>
        <v>1.635</v>
      </c>
      <c r="V24" s="298">
        <f>Чум!D9</f>
        <v>1.3088900000000001</v>
      </c>
      <c r="W24" s="298">
        <f t="shared" si="22"/>
        <v>80.05443425076453</v>
      </c>
      <c r="X24" s="298">
        <f>Чум!C10</f>
        <v>254.72</v>
      </c>
      <c r="Y24" s="298">
        <f>Чум!D10</f>
        <v>267.5471</v>
      </c>
      <c r="Z24" s="298">
        <f t="shared" si="23"/>
        <v>105.03576476130654</v>
      </c>
      <c r="AA24" s="298">
        <f>Чум!C11</f>
        <v>0</v>
      </c>
      <c r="AB24" s="309">
        <f>Чум!D11</f>
        <v>-27.800979999999999</v>
      </c>
      <c r="AC24" s="298" t="e">
        <f t="shared" si="24"/>
        <v>#DIV/0!</v>
      </c>
      <c r="AD24" s="305">
        <f>Чум!C13</f>
        <v>40</v>
      </c>
      <c r="AE24" s="305">
        <f>Чум!D13</f>
        <v>143.49297999999999</v>
      </c>
      <c r="AF24" s="298">
        <f t="shared" si="25"/>
        <v>358.73244999999997</v>
      </c>
      <c r="AG24" s="305">
        <f>Чум!C15</f>
        <v>96</v>
      </c>
      <c r="AH24" s="297">
        <f>Чум!D15</f>
        <v>117.6803</v>
      </c>
      <c r="AI24" s="298">
        <f t="shared" si="26"/>
        <v>122.58364583333335</v>
      </c>
      <c r="AJ24" s="305">
        <f>Чум!C16</f>
        <v>359.69600000000003</v>
      </c>
      <c r="AK24" s="305">
        <f>Чум!D16</f>
        <v>348.84931</v>
      </c>
      <c r="AL24" s="298">
        <f t="shared" si="6"/>
        <v>96.984484119923479</v>
      </c>
      <c r="AM24" s="298">
        <f>Чум!C18</f>
        <v>5</v>
      </c>
      <c r="AN24" s="298">
        <f>Чум!D18</f>
        <v>2.1</v>
      </c>
      <c r="AO24" s="298">
        <f t="shared" si="27"/>
        <v>42.000000000000007</v>
      </c>
      <c r="AP24" s="298">
        <f>Чум!C22</f>
        <v>0</v>
      </c>
      <c r="AQ24" s="298">
        <v>3.65E-3</v>
      </c>
      <c r="AR24" s="298" t="e">
        <f>AQ24/AP24*100</f>
        <v>#DIV/0!</v>
      </c>
      <c r="AS24" s="305">
        <v>0</v>
      </c>
      <c r="AT24" s="305"/>
      <c r="AU24" s="298" t="e">
        <f t="shared" si="8"/>
        <v>#DIV/0!</v>
      </c>
      <c r="AV24" s="305">
        <f>Чум!C27</f>
        <v>86.14</v>
      </c>
      <c r="AW24" s="306">
        <f>Чум!D27</f>
        <v>86.699160000000006</v>
      </c>
      <c r="AX24" s="298">
        <f t="shared" si="28"/>
        <v>100.6491293243557</v>
      </c>
      <c r="AY24" s="305">
        <f>Чум!C28</f>
        <v>0</v>
      </c>
      <c r="AZ24" s="306">
        <f>Чум!D28</f>
        <v>0</v>
      </c>
      <c r="BA24" s="298" t="e">
        <f t="shared" si="29"/>
        <v>#DIV/0!</v>
      </c>
      <c r="BB24" s="305"/>
      <c r="BC24" s="305"/>
      <c r="BD24" s="298" t="e">
        <f t="shared" si="30"/>
        <v>#DIV/0!</v>
      </c>
      <c r="BE24" s="298">
        <f>Чум!C30</f>
        <v>50</v>
      </c>
      <c r="BF24" s="301">
        <f>Чум!D30</f>
        <v>58.907350000000001</v>
      </c>
      <c r="BG24" s="298">
        <f t="shared" si="31"/>
        <v>117.8147</v>
      </c>
      <c r="BH24" s="298"/>
      <c r="BI24" s="298"/>
      <c r="BJ24" s="298"/>
      <c r="BK24" s="298">
        <f>Чум!C33</f>
        <v>0</v>
      </c>
      <c r="BL24" s="298">
        <f>Чум!D31</f>
        <v>78.477000000000004</v>
      </c>
      <c r="BM24" s="298" t="e">
        <f t="shared" si="32"/>
        <v>#DIV/0!</v>
      </c>
      <c r="BN24" s="298"/>
      <c r="BO24" s="298"/>
      <c r="BP24" s="298" t="e">
        <f t="shared" si="33"/>
        <v>#DIV/0!</v>
      </c>
      <c r="BQ24" s="298"/>
      <c r="BR24" s="298"/>
      <c r="BS24" s="298"/>
      <c r="BT24" s="298"/>
      <c r="BU24" s="298">
        <f>Чум!D34</f>
        <v>0</v>
      </c>
      <c r="BV24" s="291" t="e">
        <f t="shared" si="34"/>
        <v>#DIV/0!</v>
      </c>
      <c r="BW24" s="298">
        <f>Чум!C37</f>
        <v>122.24988</v>
      </c>
      <c r="BX24" s="298">
        <f>Чум!D37</f>
        <v>182.33452</v>
      </c>
      <c r="BY24" s="298">
        <f t="shared" si="35"/>
        <v>149.14903801950561</v>
      </c>
      <c r="BZ24" s="298"/>
      <c r="CA24" s="298"/>
      <c r="CB24" s="307" t="e">
        <f t="shared" si="36"/>
        <v>#DIV/0!</v>
      </c>
      <c r="CC24" s="307"/>
      <c r="CD24" s="307"/>
      <c r="CE24" s="307" t="e">
        <f t="shared" si="37"/>
        <v>#DIV/0!</v>
      </c>
      <c r="CF24" s="305">
        <f t="shared" si="38"/>
        <v>6927.40247</v>
      </c>
      <c r="CG24" s="305">
        <f t="shared" si="39"/>
        <v>6867.0774700000002</v>
      </c>
      <c r="CH24" s="298">
        <f t="shared" si="58"/>
        <v>99.129182976429547</v>
      </c>
      <c r="CI24" s="298">
        <f>Чум!C42</f>
        <v>3395.5</v>
      </c>
      <c r="CJ24" s="298">
        <f>Чум!D42</f>
        <v>3395.5</v>
      </c>
      <c r="CK24" s="298">
        <f t="shared" si="40"/>
        <v>100</v>
      </c>
      <c r="CL24" s="298">
        <f>Чум!C43</f>
        <v>0</v>
      </c>
      <c r="CM24" s="389">
        <f>Чум!D43</f>
        <v>0</v>
      </c>
      <c r="CN24" s="298" t="e">
        <f t="shared" si="41"/>
        <v>#DIV/0!</v>
      </c>
      <c r="CO24" s="298">
        <f>Чум!C44</f>
        <v>2915.1730699999998</v>
      </c>
      <c r="CP24" s="298">
        <f>Чум!D44</f>
        <v>2915.1730699999998</v>
      </c>
      <c r="CQ24" s="298">
        <f t="shared" si="9"/>
        <v>100</v>
      </c>
      <c r="CR24" s="298">
        <f>Чум!C45</f>
        <v>110.81102</v>
      </c>
      <c r="CS24" s="298">
        <f>Чум!D45</f>
        <v>110.81102</v>
      </c>
      <c r="CT24" s="298">
        <f t="shared" si="10"/>
        <v>100</v>
      </c>
      <c r="CU24" s="298">
        <f>Чум!C46</f>
        <v>505.91838000000001</v>
      </c>
      <c r="CV24" s="298">
        <f>Чум!D46</f>
        <v>445.59338000000002</v>
      </c>
      <c r="CW24" s="291">
        <f t="shared" si="42"/>
        <v>88.076139870624985</v>
      </c>
      <c r="CX24" s="309">
        <f>Чум!C50</f>
        <v>0</v>
      </c>
      <c r="CY24" s="298">
        <f>Чум!D50</f>
        <v>0</v>
      </c>
      <c r="CZ24" s="298" t="e">
        <f t="shared" si="11"/>
        <v>#DIV/0!</v>
      </c>
      <c r="DA24" s="298"/>
      <c r="DB24" s="298"/>
      <c r="DC24" s="298"/>
      <c r="DD24" s="305"/>
      <c r="DE24" s="305"/>
      <c r="DF24" s="298" t="e">
        <f t="shared" si="43"/>
        <v>#DIV/0!</v>
      </c>
      <c r="DG24" s="298"/>
      <c r="DH24" s="298"/>
      <c r="DI24" s="298"/>
      <c r="DJ24" s="298"/>
      <c r="DK24" s="298"/>
      <c r="DL24" s="298"/>
      <c r="DM24" s="300">
        <f t="shared" si="44"/>
        <v>8636.5371700000014</v>
      </c>
      <c r="DN24" s="300">
        <f t="shared" si="44"/>
        <v>8344.0469200000007</v>
      </c>
      <c r="DO24" s="298">
        <f t="shared" si="45"/>
        <v>96.613338838904099</v>
      </c>
      <c r="DP24" s="305">
        <f t="shared" si="46"/>
        <v>1722.4080000000001</v>
      </c>
      <c r="DQ24" s="305">
        <f t="shared" si="46"/>
        <v>1590.3137200000001</v>
      </c>
      <c r="DR24" s="298">
        <f t="shared" si="47"/>
        <v>92.330836828440184</v>
      </c>
      <c r="DS24" s="298">
        <f>Чум!C58</f>
        <v>1703.48</v>
      </c>
      <c r="DT24" s="298">
        <f>Чум!D58</f>
        <v>1581.38572</v>
      </c>
      <c r="DU24" s="298">
        <f t="shared" si="48"/>
        <v>92.832655505201117</v>
      </c>
      <c r="DV24" s="298">
        <f>Чум!C61</f>
        <v>0</v>
      </c>
      <c r="DW24" s="298">
        <f>Чум!D61</f>
        <v>0</v>
      </c>
      <c r="DX24" s="298" t="e">
        <f t="shared" si="49"/>
        <v>#DIV/0!</v>
      </c>
      <c r="DY24" s="298">
        <f>Чум!C62</f>
        <v>10</v>
      </c>
      <c r="DZ24" s="298">
        <f>Чум!D62</f>
        <v>0</v>
      </c>
      <c r="EA24" s="298">
        <f t="shared" si="50"/>
        <v>0</v>
      </c>
      <c r="EB24" s="298">
        <f>Чум!C63</f>
        <v>8.9280000000000008</v>
      </c>
      <c r="EC24" s="298">
        <f>Чум!D63</f>
        <v>8.9280000000000008</v>
      </c>
      <c r="ED24" s="298">
        <f t="shared" si="51"/>
        <v>100</v>
      </c>
      <c r="EE24" s="298">
        <f>Чум!C65</f>
        <v>110.81102</v>
      </c>
      <c r="EF24" s="298">
        <f>Чум!D65</f>
        <v>110.81102</v>
      </c>
      <c r="EG24" s="298">
        <f t="shared" si="52"/>
        <v>100</v>
      </c>
      <c r="EH24" s="298">
        <f>Чум!C66</f>
        <v>10.832000000000001</v>
      </c>
      <c r="EI24" s="298">
        <f>Чум!D66</f>
        <v>10.431339999999999</v>
      </c>
      <c r="EJ24" s="298">
        <f t="shared" si="53"/>
        <v>96.301144756277679</v>
      </c>
      <c r="EK24" s="305">
        <f>Чум!C72</f>
        <v>1530.38518</v>
      </c>
      <c r="EL24" s="305">
        <f>Чум!D72</f>
        <v>1504.65516</v>
      </c>
      <c r="EM24" s="298">
        <f t="shared" si="54"/>
        <v>98.318722610735165</v>
      </c>
      <c r="EN24" s="305">
        <f>Чум!C77</f>
        <v>4218.2709700000005</v>
      </c>
      <c r="EO24" s="305">
        <f>Чум!D77</f>
        <v>4084.0056800000002</v>
      </c>
      <c r="EP24" s="298">
        <f t="shared" si="55"/>
        <v>96.817053931459498</v>
      </c>
      <c r="EQ24" s="305">
        <f>Чум!C81</f>
        <v>1038.4000000000001</v>
      </c>
      <c r="ER24" s="310">
        <f>Чум!D81</f>
        <v>1038.4000000000001</v>
      </c>
      <c r="ES24" s="298">
        <f t="shared" si="12"/>
        <v>100</v>
      </c>
      <c r="ET24" s="298">
        <f>Чум!C83</f>
        <v>0</v>
      </c>
      <c r="EU24" s="298">
        <f>Чум!D83</f>
        <v>0</v>
      </c>
      <c r="EV24" s="298" t="e">
        <f t="shared" si="13"/>
        <v>#DIV/0!</v>
      </c>
      <c r="EW24" s="311">
        <f>Чум!C88</f>
        <v>5.43</v>
      </c>
      <c r="EX24" s="311">
        <f>Чум!D88</f>
        <v>5.43</v>
      </c>
      <c r="EY24" s="298">
        <f t="shared" si="56"/>
        <v>100</v>
      </c>
      <c r="EZ24" s="298">
        <f>Чум!C94</f>
        <v>0</v>
      </c>
      <c r="FA24" s="298">
        <f>Чум!D94</f>
        <v>0</v>
      </c>
      <c r="FB24" s="298" t="e">
        <f t="shared" si="57"/>
        <v>#DIV/0!</v>
      </c>
      <c r="FC24" s="420">
        <f t="shared" si="14"/>
        <v>-328.18882000000121</v>
      </c>
      <c r="FD24" s="420">
        <f t="shared" si="15"/>
        <v>134.52896999999939</v>
      </c>
      <c r="FE24" s="298">
        <f t="shared" si="59"/>
        <v>-40.991332367750644</v>
      </c>
      <c r="FF24" s="248"/>
      <c r="FG24" s="249"/>
      <c r="FI24" s="249"/>
    </row>
    <row r="25" spans="1:176" s="169" customFormat="1" ht="22.5" customHeight="1">
      <c r="A25" s="334">
        <v>12</v>
      </c>
      <c r="B25" s="335" t="s">
        <v>293</v>
      </c>
      <c r="C25" s="314">
        <f t="shared" si="16"/>
        <v>9784.2703999999994</v>
      </c>
      <c r="D25" s="315">
        <f t="shared" si="0"/>
        <v>9987.5324799999999</v>
      </c>
      <c r="E25" s="301">
        <f t="shared" si="1"/>
        <v>102.0774372711531</v>
      </c>
      <c r="F25" s="292">
        <f t="shared" si="17"/>
        <v>2751.2668999999996</v>
      </c>
      <c r="G25" s="316">
        <f t="shared" si="3"/>
        <v>3111.4520299999995</v>
      </c>
      <c r="H25" s="301">
        <f t="shared" si="18"/>
        <v>113.09160990524039</v>
      </c>
      <c r="I25" s="291">
        <f t="shared" si="19"/>
        <v>890.2</v>
      </c>
      <c r="J25" s="301"/>
      <c r="K25" s="301"/>
      <c r="L25" s="300">
        <f>Шать!C6</f>
        <v>60</v>
      </c>
      <c r="M25" s="383">
        <f>Шать!D6</f>
        <v>54.596049999999998</v>
      </c>
      <c r="N25" s="301">
        <f t="shared" si="20"/>
        <v>90.993416666666661</v>
      </c>
      <c r="O25" s="291">
        <f t="shared" si="4"/>
        <v>420.20000000000005</v>
      </c>
      <c r="P25" s="291">
        <f t="shared" si="5"/>
        <v>496.80062000000004</v>
      </c>
      <c r="Q25" s="301"/>
      <c r="R25" s="301">
        <f>Шать!C8</f>
        <v>156.73500000000001</v>
      </c>
      <c r="S25" s="301">
        <f>Шать!D8</f>
        <v>249.04965000000001</v>
      </c>
      <c r="T25" s="301">
        <f t="shared" si="21"/>
        <v>158.89855488563498</v>
      </c>
      <c r="U25" s="301">
        <f>Шать!C9</f>
        <v>1.68</v>
      </c>
      <c r="V25" s="301">
        <f>Шать!D9</f>
        <v>1.3452599999999999</v>
      </c>
      <c r="W25" s="301">
        <f t="shared" si="22"/>
        <v>80.075000000000003</v>
      </c>
      <c r="X25" s="301">
        <f>Шать!C10</f>
        <v>261.78500000000003</v>
      </c>
      <c r="Y25" s="301">
        <f>Шать!D10</f>
        <v>274.97894000000002</v>
      </c>
      <c r="Z25" s="301">
        <f t="shared" si="23"/>
        <v>105.03999083217144</v>
      </c>
      <c r="AA25" s="301">
        <f>Шать!C11</f>
        <v>0</v>
      </c>
      <c r="AB25" s="317">
        <f>Шать!D11</f>
        <v>-28.573229999999999</v>
      </c>
      <c r="AC25" s="301" t="e">
        <f t="shared" si="24"/>
        <v>#DIV/0!</v>
      </c>
      <c r="AD25" s="300">
        <f>Шать!C13</f>
        <v>10</v>
      </c>
      <c r="AE25" s="300">
        <f>Шать!D13</f>
        <v>3.4327999999999999</v>
      </c>
      <c r="AF25" s="301">
        <f t="shared" si="25"/>
        <v>34.327999999999996</v>
      </c>
      <c r="AG25" s="300">
        <f>Шать!C15</f>
        <v>90</v>
      </c>
      <c r="AH25" s="297">
        <f>Шать!D15</f>
        <v>127.09181</v>
      </c>
      <c r="AI25" s="301">
        <f t="shared" si="26"/>
        <v>141.21312222222221</v>
      </c>
      <c r="AJ25" s="300">
        <f>Шать!C16</f>
        <v>307</v>
      </c>
      <c r="AK25" s="300">
        <f>Шать!D16</f>
        <v>319.56335999999999</v>
      </c>
      <c r="AL25" s="301">
        <f t="shared" si="6"/>
        <v>104.0922996742671</v>
      </c>
      <c r="AM25" s="301">
        <f>Шать!C18</f>
        <v>3</v>
      </c>
      <c r="AN25" s="301">
        <f>Шать!D18</f>
        <v>2</v>
      </c>
      <c r="AO25" s="301">
        <f t="shared" si="27"/>
        <v>66.666666666666657</v>
      </c>
      <c r="AP25" s="301"/>
      <c r="AQ25" s="301"/>
      <c r="AR25" s="301" t="e">
        <f>AP25/AQ25*100</f>
        <v>#DIV/0!</v>
      </c>
      <c r="AS25" s="300">
        <v>0</v>
      </c>
      <c r="AT25" s="300">
        <f>0</f>
        <v>0</v>
      </c>
      <c r="AU25" s="301" t="e">
        <f t="shared" si="8"/>
        <v>#DIV/0!</v>
      </c>
      <c r="AV25" s="300">
        <f>Шать!C27</f>
        <v>180</v>
      </c>
      <c r="AW25" s="306">
        <f>Шать!D27</f>
        <v>240.8073</v>
      </c>
      <c r="AX25" s="301">
        <f t="shared" si="28"/>
        <v>133.78183333333334</v>
      </c>
      <c r="AY25" s="300">
        <f>Шать!C28</f>
        <v>20</v>
      </c>
      <c r="AZ25" s="297">
        <f>Шать!D28</f>
        <v>26.011199999999999</v>
      </c>
      <c r="BA25" s="301">
        <f t="shared" si="29"/>
        <v>130.05599999999998</v>
      </c>
      <c r="BB25" s="300"/>
      <c r="BC25" s="300"/>
      <c r="BD25" s="301" t="e">
        <f t="shared" si="30"/>
        <v>#DIV/0!</v>
      </c>
      <c r="BE25" s="301">
        <f>Шать!C29</f>
        <v>30</v>
      </c>
      <c r="BF25" s="301">
        <f>Шать!D29</f>
        <v>32.162050000000001</v>
      </c>
      <c r="BG25" s="301">
        <f t="shared" si="31"/>
        <v>107.20683333333334</v>
      </c>
      <c r="BH25" s="301"/>
      <c r="BI25" s="301"/>
      <c r="BJ25" s="301"/>
      <c r="BK25" s="301">
        <f>Шать!C31</f>
        <v>1294.56</v>
      </c>
      <c r="BL25" s="301">
        <f>Шать!D31</f>
        <v>1320.396</v>
      </c>
      <c r="BM25" s="301">
        <f t="shared" si="32"/>
        <v>101.99573600296625</v>
      </c>
      <c r="BN25" s="301"/>
      <c r="BO25" s="301"/>
      <c r="BP25" s="301" t="e">
        <f t="shared" si="33"/>
        <v>#DIV/0!</v>
      </c>
      <c r="BQ25" s="301"/>
      <c r="BR25" s="301"/>
      <c r="BS25" s="301"/>
      <c r="BT25" s="301">
        <f>Шать!C34</f>
        <v>0</v>
      </c>
      <c r="BU25" s="301">
        <f>Шать!D34</f>
        <v>0</v>
      </c>
      <c r="BV25" s="291" t="e">
        <f t="shared" si="34"/>
        <v>#DIV/0!</v>
      </c>
      <c r="BW25" s="301">
        <f>Шать!C37</f>
        <v>336.50689999999997</v>
      </c>
      <c r="BX25" s="298">
        <f>SUM(Шать!D37)</f>
        <v>488.59084000000001</v>
      </c>
      <c r="BY25" s="301">
        <f t="shared" si="35"/>
        <v>145.19489496352082</v>
      </c>
      <c r="BZ25" s="301"/>
      <c r="CA25" s="301"/>
      <c r="CB25" s="318" t="e">
        <f t="shared" si="36"/>
        <v>#DIV/0!</v>
      </c>
      <c r="CC25" s="318"/>
      <c r="CD25" s="318"/>
      <c r="CE25" s="318" t="e">
        <f t="shared" si="37"/>
        <v>#DIV/0!</v>
      </c>
      <c r="CF25" s="300">
        <f t="shared" si="38"/>
        <v>7033.0034999999998</v>
      </c>
      <c r="CG25" s="296">
        <f t="shared" si="39"/>
        <v>6876.0804500000004</v>
      </c>
      <c r="CH25" s="301">
        <f t="shared" si="58"/>
        <v>97.768761952130419</v>
      </c>
      <c r="CI25" s="301">
        <f>Шать!C42</f>
        <v>1897.8</v>
      </c>
      <c r="CJ25" s="301">
        <f>Шать!D42</f>
        <v>1897.8</v>
      </c>
      <c r="CK25" s="301">
        <f t="shared" si="40"/>
        <v>100</v>
      </c>
      <c r="CL25" s="301">
        <f>Шать!C43</f>
        <v>0</v>
      </c>
      <c r="CM25" s="390">
        <f>Шать!D43</f>
        <v>0</v>
      </c>
      <c r="CN25" s="301" t="e">
        <f t="shared" si="41"/>
        <v>#DIV/0!</v>
      </c>
      <c r="CO25" s="301">
        <f>Шать!C44</f>
        <v>4067.5971199999999</v>
      </c>
      <c r="CP25" s="301">
        <f>Шать!D44</f>
        <v>3921.6578399999999</v>
      </c>
      <c r="CQ25" s="301">
        <f t="shared" si="9"/>
        <v>96.412150080389466</v>
      </c>
      <c r="CR25" s="301">
        <f>Шать!C45</f>
        <v>117.81358</v>
      </c>
      <c r="CS25" s="301">
        <f>Шать!D45</f>
        <v>117.81358</v>
      </c>
      <c r="CT25" s="301">
        <f t="shared" si="10"/>
        <v>100</v>
      </c>
      <c r="CU25" s="301">
        <f>Шать!C46</f>
        <v>949.79280000000006</v>
      </c>
      <c r="CV25" s="301">
        <f>Шать!D46</f>
        <v>938.80903000000001</v>
      </c>
      <c r="CW25" s="291">
        <f t="shared" si="42"/>
        <v>98.843561458878185</v>
      </c>
      <c r="CX25" s="317">
        <f>Шать!C50</f>
        <v>0</v>
      </c>
      <c r="CY25" s="301">
        <f>Шать!D50</f>
        <v>0</v>
      </c>
      <c r="CZ25" s="301" t="e">
        <f t="shared" si="11"/>
        <v>#DIV/0!</v>
      </c>
      <c r="DA25" s="301"/>
      <c r="DB25" s="301"/>
      <c r="DC25" s="301"/>
      <c r="DD25" s="300"/>
      <c r="DE25" s="300"/>
      <c r="DF25" s="301" t="e">
        <f t="shared" si="43"/>
        <v>#DIV/0!</v>
      </c>
      <c r="DG25" s="301"/>
      <c r="DH25" s="301"/>
      <c r="DI25" s="301"/>
      <c r="DJ25" s="301"/>
      <c r="DK25" s="301"/>
      <c r="DL25" s="301"/>
      <c r="DM25" s="300">
        <f t="shared" si="44"/>
        <v>10111.471560000002</v>
      </c>
      <c r="DN25" s="300">
        <f t="shared" si="44"/>
        <v>9878.4558399999987</v>
      </c>
      <c r="DO25" s="301">
        <f>DN25/DM25*100</f>
        <v>97.695531074608468</v>
      </c>
      <c r="DP25" s="300">
        <f t="shared" si="46"/>
        <v>1621.973</v>
      </c>
      <c r="DQ25" s="300">
        <f t="shared" si="46"/>
        <v>1574.0285399999998</v>
      </c>
      <c r="DR25" s="301">
        <f t="shared" si="47"/>
        <v>97.044065468414075</v>
      </c>
      <c r="DS25" s="301">
        <f>Шать!C58</f>
        <v>1593.9970000000001</v>
      </c>
      <c r="DT25" s="301">
        <f>Шать!D58</f>
        <v>1551.0525399999999</v>
      </c>
      <c r="DU25" s="301">
        <f t="shared" si="48"/>
        <v>97.305863185438852</v>
      </c>
      <c r="DV25" s="301">
        <f>Шать!C61</f>
        <v>0</v>
      </c>
      <c r="DW25" s="301">
        <f>Шать!D61</f>
        <v>0</v>
      </c>
      <c r="DX25" s="301" t="e">
        <f t="shared" si="49"/>
        <v>#DIV/0!</v>
      </c>
      <c r="DY25" s="301">
        <f>Шать!C62</f>
        <v>5</v>
      </c>
      <c r="DZ25" s="301">
        <f>Шать!D62</f>
        <v>0</v>
      </c>
      <c r="EA25" s="301">
        <f t="shared" si="50"/>
        <v>0</v>
      </c>
      <c r="EB25" s="301">
        <f>Шать!C63</f>
        <v>22.975999999999999</v>
      </c>
      <c r="EC25" s="301">
        <f>Шать!D63</f>
        <v>22.975999999999999</v>
      </c>
      <c r="ED25" s="301">
        <f t="shared" si="51"/>
        <v>100</v>
      </c>
      <c r="EE25" s="301">
        <f>Шать!C65</f>
        <v>110.66728000000001</v>
      </c>
      <c r="EF25" s="301">
        <f>Шать!D65</f>
        <v>110.66728000000001</v>
      </c>
      <c r="EG25" s="301">
        <f t="shared" si="52"/>
        <v>100</v>
      </c>
      <c r="EH25" s="301">
        <f>Шать!C66</f>
        <v>3</v>
      </c>
      <c r="EI25" s="301">
        <f>Шать!D66</f>
        <v>2.83134</v>
      </c>
      <c r="EJ25" s="301">
        <f t="shared" si="53"/>
        <v>94.378</v>
      </c>
      <c r="EK25" s="300">
        <f>Шать!C72</f>
        <v>2892.2158200000003</v>
      </c>
      <c r="EL25" s="300">
        <f>Шать!D72</f>
        <v>2864.5189300000002</v>
      </c>
      <c r="EM25" s="301">
        <f t="shared" si="54"/>
        <v>99.042364341952876</v>
      </c>
      <c r="EN25" s="300">
        <f>Шать!C77</f>
        <v>4753.36546</v>
      </c>
      <c r="EO25" s="300">
        <f>Шать!D77</f>
        <v>4596.1597499999998</v>
      </c>
      <c r="EP25" s="301">
        <f t="shared" si="55"/>
        <v>96.692749351529969</v>
      </c>
      <c r="EQ25" s="300">
        <f>Шать!C81</f>
        <v>705.42</v>
      </c>
      <c r="ER25" s="319">
        <f>Шать!D81</f>
        <v>705.42</v>
      </c>
      <c r="ES25" s="301">
        <f t="shared" si="12"/>
        <v>100</v>
      </c>
      <c r="ET25" s="301">
        <f>Шать!C83</f>
        <v>0</v>
      </c>
      <c r="EU25" s="301">
        <f>Шать!D83</f>
        <v>0</v>
      </c>
      <c r="EV25" s="301" t="e">
        <f t="shared" si="13"/>
        <v>#DIV/0!</v>
      </c>
      <c r="EW25" s="316">
        <f>Шать!C88</f>
        <v>24.83</v>
      </c>
      <c r="EX25" s="316">
        <f>Шать!D88</f>
        <v>24.83</v>
      </c>
      <c r="EY25" s="301">
        <f t="shared" si="56"/>
        <v>100</v>
      </c>
      <c r="EZ25" s="301">
        <f>Шать!C94</f>
        <v>0</v>
      </c>
      <c r="FA25" s="301">
        <f>Шать!D94</f>
        <v>0</v>
      </c>
      <c r="FB25" s="301" t="e">
        <f t="shared" si="57"/>
        <v>#DIV/0!</v>
      </c>
      <c r="FC25" s="419">
        <f t="shared" si="14"/>
        <v>-327.20116000000235</v>
      </c>
      <c r="FD25" s="419">
        <f t="shared" si="15"/>
        <v>109.07664000000113</v>
      </c>
      <c r="FE25" s="301">
        <f t="shared" si="59"/>
        <v>-33.336263233296712</v>
      </c>
      <c r="FF25" s="167"/>
      <c r="FG25" s="168"/>
      <c r="FI25" s="168"/>
    </row>
    <row r="26" spans="1:176" s="250" customFormat="1" ht="24.75" customHeight="1">
      <c r="A26" s="337">
        <v>13</v>
      </c>
      <c r="B26" s="333" t="s">
        <v>294</v>
      </c>
      <c r="C26" s="312">
        <f t="shared" si="16"/>
        <v>13767.251459999999</v>
      </c>
      <c r="D26" s="290">
        <f t="shared" si="0"/>
        <v>15229.783350000002</v>
      </c>
      <c r="E26" s="298">
        <f t="shared" si="1"/>
        <v>110.62326706423072</v>
      </c>
      <c r="F26" s="292">
        <f t="shared" si="17"/>
        <v>2863.75</v>
      </c>
      <c r="G26" s="311">
        <f t="shared" si="3"/>
        <v>4350.9584100000002</v>
      </c>
      <c r="H26" s="298">
        <f t="shared" si="18"/>
        <v>151.93220113487561</v>
      </c>
      <c r="I26" s="291">
        <f t="shared" si="19"/>
        <v>2365.75</v>
      </c>
      <c r="J26" s="298"/>
      <c r="K26" s="298"/>
      <c r="L26" s="305">
        <f>Юнг!C6</f>
        <v>149</v>
      </c>
      <c r="M26" s="383">
        <f>Юнг!D6</f>
        <v>177.08707000000001</v>
      </c>
      <c r="N26" s="298">
        <f t="shared" si="20"/>
        <v>118.85038255033558</v>
      </c>
      <c r="O26" s="291">
        <f t="shared" si="4"/>
        <v>675.75</v>
      </c>
      <c r="P26" s="291">
        <f t="shared" si="5"/>
        <v>798.90917000000002</v>
      </c>
      <c r="Q26" s="298"/>
      <c r="R26" s="298">
        <f>Юнг!C8</f>
        <v>252.05500000000001</v>
      </c>
      <c r="S26" s="298">
        <f>Юнг!D8</f>
        <v>400.49876999999998</v>
      </c>
      <c r="T26" s="298">
        <f t="shared" si="21"/>
        <v>158.89340421733351</v>
      </c>
      <c r="U26" s="298">
        <f>Юнг!C9</f>
        <v>2.7029999999999998</v>
      </c>
      <c r="V26" s="298">
        <f>Юнг!D9</f>
        <v>2.1633399999999998</v>
      </c>
      <c r="W26" s="298">
        <f t="shared" si="22"/>
        <v>80.034776174620788</v>
      </c>
      <c r="X26" s="298">
        <f>Юнг!C10</f>
        <v>420.99200000000002</v>
      </c>
      <c r="Y26" s="298">
        <f>Юнг!D10</f>
        <v>442.19587999999999</v>
      </c>
      <c r="Z26" s="298">
        <f t="shared" si="23"/>
        <v>105.03664677713589</v>
      </c>
      <c r="AA26" s="298">
        <f>Юнг!C11</f>
        <v>0</v>
      </c>
      <c r="AB26" s="309">
        <f>Юнг!D11</f>
        <v>-45.948819999999998</v>
      </c>
      <c r="AC26" s="298" t="e">
        <f t="shared" si="24"/>
        <v>#DIV/0!</v>
      </c>
      <c r="AD26" s="305">
        <f>Юнг!C13</f>
        <v>80</v>
      </c>
      <c r="AE26" s="305">
        <f>Юнг!D13</f>
        <v>81.321929999999995</v>
      </c>
      <c r="AF26" s="298">
        <f t="shared" si="25"/>
        <v>101.65241249999998</v>
      </c>
      <c r="AG26" s="305">
        <f>Юнг!C15</f>
        <v>433</v>
      </c>
      <c r="AH26" s="297">
        <f>Юнг!D15</f>
        <v>411.26123999999999</v>
      </c>
      <c r="AI26" s="298">
        <f t="shared" si="26"/>
        <v>94.979501154734407</v>
      </c>
      <c r="AJ26" s="305">
        <f>Юнг!C16</f>
        <v>1020</v>
      </c>
      <c r="AK26" s="305">
        <f>Юнг!D16</f>
        <v>962.31596000000002</v>
      </c>
      <c r="AL26" s="298">
        <f t="shared" si="6"/>
        <v>94.34470196078432</v>
      </c>
      <c r="AM26" s="298">
        <f>Юнг!C18</f>
        <v>8</v>
      </c>
      <c r="AN26" s="298">
        <f>Юнг!D18</f>
        <v>3.2</v>
      </c>
      <c r="AO26" s="298">
        <f t="shared" si="27"/>
        <v>40</v>
      </c>
      <c r="AP26" s="298"/>
      <c r="AQ26" s="298"/>
      <c r="AR26" s="298" t="e">
        <f>AP26/AQ26*100</f>
        <v>#DIV/0!</v>
      </c>
      <c r="AS26" s="305">
        <v>0</v>
      </c>
      <c r="AT26" s="305"/>
      <c r="AU26" s="298" t="e">
        <f t="shared" si="8"/>
        <v>#DIV/0!</v>
      </c>
      <c r="AV26" s="305">
        <f>Юнг!C27</f>
        <v>388</v>
      </c>
      <c r="AW26" s="306">
        <f>Юнг!D27</f>
        <v>499.31668999999999</v>
      </c>
      <c r="AX26" s="298">
        <f t="shared" si="28"/>
        <v>128.68986855670104</v>
      </c>
      <c r="AY26" s="305">
        <f>Юнг!C28</f>
        <v>30</v>
      </c>
      <c r="AZ26" s="306">
        <f>Юнг!D28</f>
        <v>29.382000000000001</v>
      </c>
      <c r="BA26" s="298">
        <f t="shared" si="29"/>
        <v>97.94</v>
      </c>
      <c r="BB26" s="305"/>
      <c r="BC26" s="305"/>
      <c r="BD26" s="298" t="e">
        <f t="shared" si="30"/>
        <v>#DIV/0!</v>
      </c>
      <c r="BE26" s="298">
        <f>Юнг!C30</f>
        <v>80</v>
      </c>
      <c r="BF26" s="301">
        <f>Юнг!D30</f>
        <v>97.995909999999995</v>
      </c>
      <c r="BG26" s="298">
        <f t="shared" si="31"/>
        <v>122.49488749999999</v>
      </c>
      <c r="BH26" s="298"/>
      <c r="BI26" s="298"/>
      <c r="BJ26" s="298"/>
      <c r="BK26" s="298">
        <f>Юнг!C33</f>
        <v>0</v>
      </c>
      <c r="BL26" s="298">
        <f>Юнг!D31</f>
        <v>0</v>
      </c>
      <c r="BM26" s="298" t="e">
        <f t="shared" si="32"/>
        <v>#DIV/0!</v>
      </c>
      <c r="BN26" s="298"/>
      <c r="BO26" s="298"/>
      <c r="BP26" s="298" t="e">
        <f t="shared" si="33"/>
        <v>#DIV/0!</v>
      </c>
      <c r="BQ26" s="298"/>
      <c r="BR26" s="298"/>
      <c r="BS26" s="298"/>
      <c r="BT26" s="298">
        <f>Юнг!C34</f>
        <v>0</v>
      </c>
      <c r="BU26" s="298">
        <f>Юнг!D34</f>
        <v>43.13044</v>
      </c>
      <c r="BV26" s="291" t="e">
        <f t="shared" si="34"/>
        <v>#DIV/0!</v>
      </c>
      <c r="BW26" s="298">
        <f>Юнг!C36</f>
        <v>0</v>
      </c>
      <c r="BX26" s="298">
        <f>Юнг!D36</f>
        <v>1247.038</v>
      </c>
      <c r="BY26" s="298" t="e">
        <f t="shared" si="35"/>
        <v>#DIV/0!</v>
      </c>
      <c r="BZ26" s="298"/>
      <c r="CA26" s="298"/>
      <c r="CB26" s="307" t="e">
        <f t="shared" si="36"/>
        <v>#DIV/0!</v>
      </c>
      <c r="CC26" s="307"/>
      <c r="CD26" s="307"/>
      <c r="CE26" s="307" t="e">
        <f t="shared" si="37"/>
        <v>#DIV/0!</v>
      </c>
      <c r="CF26" s="305">
        <f t="shared" si="38"/>
        <v>10903.501459999999</v>
      </c>
      <c r="CG26" s="305">
        <f t="shared" si="39"/>
        <v>10878.82494</v>
      </c>
      <c r="CH26" s="298">
        <f t="shared" si="58"/>
        <v>99.773682609292749</v>
      </c>
      <c r="CI26" s="298">
        <f>Юнг!C41</f>
        <v>2417.4</v>
      </c>
      <c r="CJ26" s="298">
        <f>Юнг!D41</f>
        <v>2417.4</v>
      </c>
      <c r="CK26" s="298">
        <f t="shared" si="40"/>
        <v>100</v>
      </c>
      <c r="CL26" s="298">
        <f>Юнг!C42</f>
        <v>0</v>
      </c>
      <c r="CM26" s="389">
        <f>Юнг!D42</f>
        <v>0</v>
      </c>
      <c r="CN26" s="298" t="e">
        <f t="shared" si="41"/>
        <v>#DIV/0!</v>
      </c>
      <c r="CO26" s="298">
        <f>Юнг!C43</f>
        <v>6027.2349999999997</v>
      </c>
      <c r="CP26" s="298">
        <f>Юнг!D43</f>
        <v>6027.2349999999997</v>
      </c>
      <c r="CQ26" s="298">
        <f t="shared" si="9"/>
        <v>100</v>
      </c>
      <c r="CR26" s="298">
        <f>Юнг!C44</f>
        <v>109.41849000000001</v>
      </c>
      <c r="CS26" s="298">
        <f>Юнг!D44</f>
        <v>109.41849000000001</v>
      </c>
      <c r="CT26" s="298">
        <f t="shared" si="10"/>
        <v>100</v>
      </c>
      <c r="CU26" s="298">
        <f>Юнг!C45</f>
        <v>2349.4479700000002</v>
      </c>
      <c r="CV26" s="298">
        <f>Юнг!D45</f>
        <v>2324.7714500000002</v>
      </c>
      <c r="CW26" s="291">
        <f t="shared" si="42"/>
        <v>98.949688594295623</v>
      </c>
      <c r="CX26" s="309">
        <f>Юнг!C48</f>
        <v>0</v>
      </c>
      <c r="CY26" s="298">
        <f>Юнг!D48</f>
        <v>0</v>
      </c>
      <c r="CZ26" s="298" t="e">
        <f t="shared" si="11"/>
        <v>#DIV/0!</v>
      </c>
      <c r="DA26" s="298"/>
      <c r="DB26" s="298">
        <f>Юнг!D47</f>
        <v>0</v>
      </c>
      <c r="DC26" s="298"/>
      <c r="DD26" s="305"/>
      <c r="DE26" s="305"/>
      <c r="DF26" s="298" t="e">
        <f t="shared" si="43"/>
        <v>#DIV/0!</v>
      </c>
      <c r="DG26" s="298"/>
      <c r="DH26" s="298"/>
      <c r="DI26" s="298"/>
      <c r="DJ26" s="298"/>
      <c r="DK26" s="298"/>
      <c r="DL26" s="298"/>
      <c r="DM26" s="300">
        <f t="shared" si="44"/>
        <v>14152.11717</v>
      </c>
      <c r="DN26" s="300">
        <f t="shared" si="44"/>
        <v>13936.762209999999</v>
      </c>
      <c r="DO26" s="298">
        <f t="shared" si="45"/>
        <v>98.478284503914963</v>
      </c>
      <c r="DP26" s="305">
        <f t="shared" si="46"/>
        <v>1975.951</v>
      </c>
      <c r="DQ26" s="305">
        <f t="shared" si="46"/>
        <v>1916.6508399999998</v>
      </c>
      <c r="DR26" s="298">
        <f t="shared" si="47"/>
        <v>96.998905337227484</v>
      </c>
      <c r="DS26" s="298">
        <f>Юнг!C57</f>
        <v>1915.6289999999999</v>
      </c>
      <c r="DT26" s="298">
        <f>Юнг!D57</f>
        <v>1877.3288399999999</v>
      </c>
      <c r="DU26" s="298">
        <f t="shared" si="48"/>
        <v>98.000648351011606</v>
      </c>
      <c r="DV26" s="298">
        <f>Юнг!C60</f>
        <v>0</v>
      </c>
      <c r="DW26" s="298">
        <f>Юнг!D60</f>
        <v>0</v>
      </c>
      <c r="DX26" s="298" t="e">
        <f t="shared" si="49"/>
        <v>#DIV/0!</v>
      </c>
      <c r="DY26" s="298">
        <f>Юнг!C61</f>
        <v>1</v>
      </c>
      <c r="DZ26" s="298">
        <f>Юнг!D61</f>
        <v>0</v>
      </c>
      <c r="EA26" s="298">
        <f t="shared" si="50"/>
        <v>0</v>
      </c>
      <c r="EB26" s="298">
        <f>Юнг!C62</f>
        <v>59.322000000000003</v>
      </c>
      <c r="EC26" s="298">
        <f>Юнг!D62</f>
        <v>39.322000000000003</v>
      </c>
      <c r="ED26" s="298">
        <f t="shared" si="51"/>
        <v>66.285695020397156</v>
      </c>
      <c r="EE26" s="298">
        <f>Юнг!C64</f>
        <v>109.41849000000001</v>
      </c>
      <c r="EF26" s="298">
        <f>Юнг!D64</f>
        <v>109.41849000000001</v>
      </c>
      <c r="EG26" s="298">
        <f t="shared" si="52"/>
        <v>100</v>
      </c>
      <c r="EH26" s="298">
        <f>Юнг!C65</f>
        <v>224.83500000000001</v>
      </c>
      <c r="EI26" s="298">
        <f>Юнг!D65</f>
        <v>223.83735000000001</v>
      </c>
      <c r="EJ26" s="298">
        <f t="shared" si="53"/>
        <v>99.556274601374341</v>
      </c>
      <c r="EK26" s="305">
        <f>Юнг!C71</f>
        <v>2267.98171</v>
      </c>
      <c r="EL26" s="305">
        <f>Юнг!D71</f>
        <v>2143.27207</v>
      </c>
      <c r="EM26" s="298">
        <f t="shared" si="54"/>
        <v>94.501294280719748</v>
      </c>
      <c r="EN26" s="305">
        <f>Юнг!C76</f>
        <v>6621.64545</v>
      </c>
      <c r="EO26" s="305">
        <f>Юнг!D76</f>
        <v>6616.0744599999998</v>
      </c>
      <c r="EP26" s="298">
        <f t="shared" si="55"/>
        <v>99.915866984391329</v>
      </c>
      <c r="EQ26" s="305">
        <f>Юнг!C80</f>
        <v>2920.6515199999999</v>
      </c>
      <c r="ER26" s="310">
        <f>Юнг!D80</f>
        <v>2895.875</v>
      </c>
      <c r="ES26" s="298">
        <f t="shared" si="12"/>
        <v>99.151678321417819</v>
      </c>
      <c r="ET26" s="298">
        <f>Юнг!C82</f>
        <v>0</v>
      </c>
      <c r="EU26" s="298">
        <f>Юнг!D82</f>
        <v>0</v>
      </c>
      <c r="EV26" s="298" t="e">
        <f t="shared" si="13"/>
        <v>#DIV/0!</v>
      </c>
      <c r="EW26" s="311">
        <f>Юнг!C87</f>
        <v>31.634</v>
      </c>
      <c r="EX26" s="311">
        <f>Юнг!D87</f>
        <v>31.634</v>
      </c>
      <c r="EY26" s="298">
        <f t="shared" si="56"/>
        <v>100</v>
      </c>
      <c r="EZ26" s="298">
        <f>Юнг!C93</f>
        <v>0</v>
      </c>
      <c r="FA26" s="298">
        <f>Юнг!D93</f>
        <v>0</v>
      </c>
      <c r="FB26" s="298" t="e">
        <f t="shared" si="57"/>
        <v>#DIV/0!</v>
      </c>
      <c r="FC26" s="420">
        <f t="shared" si="14"/>
        <v>-384.86571000000004</v>
      </c>
      <c r="FD26" s="420">
        <f t="shared" si="15"/>
        <v>1293.0211400000026</v>
      </c>
      <c r="FE26" s="298">
        <f t="shared" si="59"/>
        <v>-335.96683373013468</v>
      </c>
      <c r="FF26" s="248"/>
      <c r="FG26" s="249"/>
      <c r="FI26" s="249"/>
    </row>
    <row r="27" spans="1:176" s="157" customFormat="1" ht="25.5" customHeight="1">
      <c r="A27" s="331">
        <v>14</v>
      </c>
      <c r="B27" s="333" t="s">
        <v>295</v>
      </c>
      <c r="C27" s="289">
        <f t="shared" si="16"/>
        <v>13620.569669999999</v>
      </c>
      <c r="D27" s="290">
        <f t="shared" si="0"/>
        <v>13968.741890000001</v>
      </c>
      <c r="E27" s="298">
        <f t="shared" si="1"/>
        <v>102.55622362673178</v>
      </c>
      <c r="F27" s="292">
        <f t="shared" si="17"/>
        <v>1817.7319999999997</v>
      </c>
      <c r="G27" s="292">
        <f t="shared" si="3"/>
        <v>2265.5085200000003</v>
      </c>
      <c r="H27" s="298">
        <f t="shared" si="18"/>
        <v>124.63380300286295</v>
      </c>
      <c r="I27" s="291">
        <f t="shared" si="19"/>
        <v>1274.1300000000001</v>
      </c>
      <c r="J27" s="298"/>
      <c r="K27" s="298"/>
      <c r="L27" s="305">
        <f>Юсь!C6</f>
        <v>171</v>
      </c>
      <c r="M27" s="383">
        <f>Юсь!D6</f>
        <v>214.43786</v>
      </c>
      <c r="N27" s="298">
        <f t="shared" si="20"/>
        <v>125.40225730994152</v>
      </c>
      <c r="O27" s="291">
        <f t="shared" si="4"/>
        <v>616.13</v>
      </c>
      <c r="P27" s="291">
        <f t="shared" si="5"/>
        <v>728.41717000000006</v>
      </c>
      <c r="Q27" s="298"/>
      <c r="R27" s="298">
        <f>Юсь!C8</f>
        <v>229.816</v>
      </c>
      <c r="S27" s="298">
        <f>Юсь!D8</f>
        <v>365.16064</v>
      </c>
      <c r="T27" s="291">
        <f t="shared" si="21"/>
        <v>158.89260973996588</v>
      </c>
      <c r="U27" s="291">
        <f>Юсь!C9</f>
        <v>2.4649999999999999</v>
      </c>
      <c r="V27" s="291">
        <f>Юсь!D9</f>
        <v>1.97244</v>
      </c>
      <c r="W27" s="291">
        <f t="shared" si="22"/>
        <v>80.017849898580124</v>
      </c>
      <c r="X27" s="291">
        <f>Юсь!C10</f>
        <v>383.84899999999999</v>
      </c>
      <c r="Y27" s="291">
        <f>Юсь!D10</f>
        <v>403.17858999999999</v>
      </c>
      <c r="Z27" s="291">
        <f t="shared" si="23"/>
        <v>105.03572759079742</v>
      </c>
      <c r="AA27" s="291">
        <f>Юсь!C11</f>
        <v>0</v>
      </c>
      <c r="AB27" s="295">
        <f>Юсь!D11</f>
        <v>-41.894500000000001</v>
      </c>
      <c r="AC27" s="291" t="e">
        <f t="shared" si="24"/>
        <v>#DIV/0!</v>
      </c>
      <c r="AD27" s="305">
        <f>Юсь!C13</f>
        <v>10</v>
      </c>
      <c r="AE27" s="305">
        <f>Юсь!D13</f>
        <v>0</v>
      </c>
      <c r="AF27" s="298">
        <f t="shared" si="25"/>
        <v>0</v>
      </c>
      <c r="AG27" s="305">
        <f>Юсь!C15</f>
        <v>124</v>
      </c>
      <c r="AH27" s="297">
        <f>Юсь!D15</f>
        <v>132.71872999999999</v>
      </c>
      <c r="AI27" s="298">
        <f t="shared" si="26"/>
        <v>107.03123387096774</v>
      </c>
      <c r="AJ27" s="305">
        <f>Юсь!C16</f>
        <v>345</v>
      </c>
      <c r="AK27" s="305">
        <f>Юсь!D16</f>
        <v>368.55234000000002</v>
      </c>
      <c r="AL27" s="298">
        <f t="shared" si="6"/>
        <v>106.82676521739131</v>
      </c>
      <c r="AM27" s="298">
        <f>Юсь!C18</f>
        <v>8</v>
      </c>
      <c r="AN27" s="298">
        <f>Юсь!D18</f>
        <v>8.25</v>
      </c>
      <c r="AO27" s="298">
        <f t="shared" si="27"/>
        <v>103.125</v>
      </c>
      <c r="AP27" s="298"/>
      <c r="AQ27" s="298"/>
      <c r="AR27" s="298" t="e">
        <f>AP27/AQ27*100</f>
        <v>#DIV/0!</v>
      </c>
      <c r="AS27" s="305">
        <v>0</v>
      </c>
      <c r="AT27" s="305">
        <v>0</v>
      </c>
      <c r="AU27" s="298" t="e">
        <f t="shared" si="8"/>
        <v>#DIV/0!</v>
      </c>
      <c r="AV27" s="305">
        <f>Юсь!C27</f>
        <v>0</v>
      </c>
      <c r="AW27" s="306">
        <f>Юсь!D27</f>
        <v>0</v>
      </c>
      <c r="AX27" s="298" t="e">
        <f t="shared" si="28"/>
        <v>#DIV/0!</v>
      </c>
      <c r="AY27" s="300">
        <f>Юсь!C28</f>
        <v>40</v>
      </c>
      <c r="AZ27" s="306">
        <f>Юсь!D28</f>
        <v>66.5</v>
      </c>
      <c r="BA27" s="298">
        <f t="shared" si="29"/>
        <v>166.25</v>
      </c>
      <c r="BB27" s="305"/>
      <c r="BC27" s="305"/>
      <c r="BD27" s="298" t="e">
        <f t="shared" si="30"/>
        <v>#DIV/0!</v>
      </c>
      <c r="BE27" s="298">
        <f>Юсь!C30</f>
        <v>100</v>
      </c>
      <c r="BF27" s="301">
        <f>Юсь!D30</f>
        <v>358.87428999999997</v>
      </c>
      <c r="BG27" s="298">
        <f t="shared" si="31"/>
        <v>358.87428999999997</v>
      </c>
      <c r="BH27" s="298"/>
      <c r="BI27" s="298"/>
      <c r="BJ27" s="298"/>
      <c r="BK27" s="298">
        <f>Юсь!C31</f>
        <v>0</v>
      </c>
      <c r="BL27" s="298">
        <f>Юсь!D31</f>
        <v>0</v>
      </c>
      <c r="BM27" s="298" t="e">
        <f t="shared" si="32"/>
        <v>#DIV/0!</v>
      </c>
      <c r="BN27" s="298"/>
      <c r="BO27" s="298"/>
      <c r="BP27" s="298" t="e">
        <f t="shared" si="33"/>
        <v>#DIV/0!</v>
      </c>
      <c r="BQ27" s="298"/>
      <c r="BR27" s="298"/>
      <c r="BS27" s="298"/>
      <c r="BT27" s="298"/>
      <c r="BU27" s="298">
        <f>Юсь!D34</f>
        <v>5.9382900000000003</v>
      </c>
      <c r="BV27" s="291" t="e">
        <f t="shared" si="34"/>
        <v>#DIV/0!</v>
      </c>
      <c r="BW27" s="298">
        <f>Юсь!C36</f>
        <v>403.60199999999998</v>
      </c>
      <c r="BX27" s="298">
        <f>Юсь!D36</f>
        <v>381.81984</v>
      </c>
      <c r="BY27" s="298">
        <f t="shared" si="35"/>
        <v>94.603059449655859</v>
      </c>
      <c r="BZ27" s="298"/>
      <c r="CA27" s="298"/>
      <c r="CB27" s="307" t="e">
        <f t="shared" si="36"/>
        <v>#DIV/0!</v>
      </c>
      <c r="CC27" s="307"/>
      <c r="CD27" s="307"/>
      <c r="CE27" s="307" t="e">
        <f t="shared" si="37"/>
        <v>#DIV/0!</v>
      </c>
      <c r="CF27" s="296">
        <f t="shared" si="38"/>
        <v>11802.837669999999</v>
      </c>
      <c r="CG27" s="296">
        <f t="shared" si="39"/>
        <v>11703.23337</v>
      </c>
      <c r="CH27" s="298">
        <f t="shared" si="58"/>
        <v>99.15609870452451</v>
      </c>
      <c r="CI27" s="298">
        <f>Юсь!C41</f>
        <v>4903.5</v>
      </c>
      <c r="CJ27" s="298">
        <f>Юсь!D41</f>
        <v>4903.5</v>
      </c>
      <c r="CK27" s="298">
        <f t="shared" si="40"/>
        <v>100</v>
      </c>
      <c r="CL27" s="298">
        <f>Юсь!C42</f>
        <v>0</v>
      </c>
      <c r="CM27" s="389">
        <f>Юсь!D42</f>
        <v>0</v>
      </c>
      <c r="CN27" s="298" t="e">
        <f t="shared" si="41"/>
        <v>#DIV/0!</v>
      </c>
      <c r="CO27" s="298">
        <f>Юсь!C43</f>
        <v>5918.9191000000001</v>
      </c>
      <c r="CP27" s="298">
        <f>Юсь!D43</f>
        <v>5918.9191000000001</v>
      </c>
      <c r="CQ27" s="298">
        <f t="shared" si="9"/>
        <v>100</v>
      </c>
      <c r="CR27" s="298">
        <f>Юсь!C44</f>
        <v>301.49356999999998</v>
      </c>
      <c r="CS27" s="298">
        <f>Юсь!D44</f>
        <v>301.49356999999998</v>
      </c>
      <c r="CT27" s="298">
        <f t="shared" si="10"/>
        <v>100</v>
      </c>
      <c r="CU27" s="298">
        <f>Юсь!C51</f>
        <v>678.92499999999995</v>
      </c>
      <c r="CV27" s="298">
        <f>Юсь!D51</f>
        <v>579.32069999999999</v>
      </c>
      <c r="CW27" s="291">
        <f t="shared" si="42"/>
        <v>85.329115881724789</v>
      </c>
      <c r="CX27" s="309">
        <f>Юсь!C52</f>
        <v>0</v>
      </c>
      <c r="CY27" s="298">
        <f>Юсь!D52</f>
        <v>0</v>
      </c>
      <c r="CZ27" s="298" t="e">
        <f t="shared" si="11"/>
        <v>#DIV/0!</v>
      </c>
      <c r="DA27" s="298"/>
      <c r="DB27" s="298"/>
      <c r="DC27" s="298"/>
      <c r="DD27" s="305"/>
      <c r="DE27" s="305"/>
      <c r="DF27" s="298" t="e">
        <f t="shared" si="43"/>
        <v>#DIV/0!</v>
      </c>
      <c r="DG27" s="298"/>
      <c r="DH27" s="298"/>
      <c r="DI27" s="298"/>
      <c r="DJ27" s="298"/>
      <c r="DK27" s="298"/>
      <c r="DL27" s="298"/>
      <c r="DM27" s="300">
        <f t="shared" si="44"/>
        <v>14622.710510000001</v>
      </c>
      <c r="DN27" s="300">
        <f t="shared" si="44"/>
        <v>14260.155130000001</v>
      </c>
      <c r="DO27" s="298">
        <f t="shared" si="45"/>
        <v>97.520600713854932</v>
      </c>
      <c r="DP27" s="305">
        <f t="shared" si="46"/>
        <v>1694.3889999999999</v>
      </c>
      <c r="DQ27" s="305">
        <f t="shared" si="46"/>
        <v>1551.4588799999999</v>
      </c>
      <c r="DR27" s="298">
        <f t="shared" si="47"/>
        <v>91.564503782779511</v>
      </c>
      <c r="DS27" s="298">
        <f>Юсь!C60</f>
        <v>1682.5119999999999</v>
      </c>
      <c r="DT27" s="298">
        <f>Юсь!D60</f>
        <v>1546.2948799999999</v>
      </c>
      <c r="DU27" s="298">
        <f t="shared" si="48"/>
        <v>91.903943627147981</v>
      </c>
      <c r="DV27" s="298">
        <f>Юсь!C63</f>
        <v>0</v>
      </c>
      <c r="DW27" s="298">
        <f>Юсь!D63</f>
        <v>0</v>
      </c>
      <c r="DX27" s="298" t="e">
        <f t="shared" si="49"/>
        <v>#DIV/0!</v>
      </c>
      <c r="DY27" s="298">
        <f>Юсь!C64</f>
        <v>5</v>
      </c>
      <c r="DZ27" s="298">
        <f>Юсь!D64</f>
        <v>0</v>
      </c>
      <c r="EA27" s="298">
        <f t="shared" si="50"/>
        <v>0</v>
      </c>
      <c r="EB27" s="298">
        <f>Юсь!C65</f>
        <v>6.8769999999999998</v>
      </c>
      <c r="EC27" s="298">
        <f>Юсь!D65</f>
        <v>5.1639999999999997</v>
      </c>
      <c r="ED27" s="298">
        <f t="shared" si="51"/>
        <v>75.090882652319323</v>
      </c>
      <c r="EE27" s="298">
        <f>Юсь!C67</f>
        <v>287.20096999999998</v>
      </c>
      <c r="EF27" s="298">
        <f>Юсь!D67</f>
        <v>287.20096999999998</v>
      </c>
      <c r="EG27" s="298">
        <f t="shared" si="52"/>
        <v>100</v>
      </c>
      <c r="EH27" s="298">
        <f>Юсь!C68</f>
        <v>329.38</v>
      </c>
      <c r="EI27" s="298">
        <f>Юсь!D68</f>
        <v>329.18939</v>
      </c>
      <c r="EJ27" s="298">
        <f t="shared" si="53"/>
        <v>99.94213066974315</v>
      </c>
      <c r="EK27" s="305">
        <f>Юсь!C74</f>
        <v>3091.5144400000004</v>
      </c>
      <c r="EL27" s="305">
        <f>Юсь!D74</f>
        <v>3030.0402100000001</v>
      </c>
      <c r="EM27" s="298">
        <f t="shared" si="54"/>
        <v>98.011517293770098</v>
      </c>
      <c r="EN27" s="305">
        <f>Юсь!C79</f>
        <v>7367.5261</v>
      </c>
      <c r="EO27" s="305">
        <f>Юсь!D79</f>
        <v>7209.9037900000003</v>
      </c>
      <c r="EP27" s="298">
        <f t="shared" si="55"/>
        <v>97.86058022923055</v>
      </c>
      <c r="EQ27" s="305">
        <f>Юсь!C83</f>
        <v>1842.7</v>
      </c>
      <c r="ER27" s="310">
        <f>Юсь!D83</f>
        <v>1842.3718899999999</v>
      </c>
      <c r="ES27" s="298">
        <f t="shared" si="12"/>
        <v>99.982194063059637</v>
      </c>
      <c r="ET27" s="298">
        <f>Юсь!C85</f>
        <v>0</v>
      </c>
      <c r="EU27" s="298">
        <f>Юсь!D85</f>
        <v>0</v>
      </c>
      <c r="EV27" s="298" t="e">
        <f t="shared" si="13"/>
        <v>#DIV/0!</v>
      </c>
      <c r="EW27" s="311">
        <f>Юсь!C90</f>
        <v>10</v>
      </c>
      <c r="EX27" s="311">
        <f>Юсь!D90</f>
        <v>9.99</v>
      </c>
      <c r="EY27" s="298">
        <f t="shared" si="56"/>
        <v>99.9</v>
      </c>
      <c r="EZ27" s="298">
        <f>Юсь!C96</f>
        <v>0</v>
      </c>
      <c r="FA27" s="298">
        <f>Юсь!D96</f>
        <v>0</v>
      </c>
      <c r="FB27" s="291" t="e">
        <f t="shared" si="57"/>
        <v>#DIV/0!</v>
      </c>
      <c r="FC27" s="418">
        <f t="shared" si="14"/>
        <v>-1002.1408400000018</v>
      </c>
      <c r="FD27" s="418">
        <f t="shared" si="15"/>
        <v>-291.41323999999986</v>
      </c>
      <c r="FE27" s="291">
        <f t="shared" si="59"/>
        <v>29.079070363004</v>
      </c>
      <c r="FF27" s="159"/>
      <c r="FG27" s="160"/>
      <c r="FI27" s="160"/>
    </row>
    <row r="28" spans="1:176" s="157" customFormat="1" ht="23.25" customHeight="1">
      <c r="A28" s="331">
        <v>15</v>
      </c>
      <c r="B28" s="333" t="s">
        <v>296</v>
      </c>
      <c r="C28" s="312">
        <f t="shared" si="16"/>
        <v>15161.389599999999</v>
      </c>
      <c r="D28" s="290">
        <f>G28+CG28+DE28</f>
        <v>15714.107359999998</v>
      </c>
      <c r="E28" s="298">
        <f>D28/C28*100</f>
        <v>103.64556135408591</v>
      </c>
      <c r="F28" s="292">
        <f t="shared" si="17"/>
        <v>3264.3563599999998</v>
      </c>
      <c r="G28" s="292">
        <f>M28+AE28+AH28+AK28+AN28+AT28+AZ28+BL28+AQ28+BX28+BU28+BF28+S28+Y28+V28+AB28+AW28</f>
        <v>3859.8849699999992</v>
      </c>
      <c r="H28" s="298">
        <f>G28/F28*100</f>
        <v>118.24337003451424</v>
      </c>
      <c r="I28" s="291">
        <f t="shared" si="19"/>
        <v>2738.4</v>
      </c>
      <c r="J28" s="298"/>
      <c r="K28" s="298"/>
      <c r="L28" s="305">
        <f>Яра!C6</f>
        <v>321.39999999999998</v>
      </c>
      <c r="M28" s="383">
        <f>Яра!D6</f>
        <v>265.78492</v>
      </c>
      <c r="N28" s="298">
        <f t="shared" si="20"/>
        <v>82.695992532669578</v>
      </c>
      <c r="O28" s="291">
        <f t="shared" si="4"/>
        <v>954</v>
      </c>
      <c r="P28" s="291">
        <f t="shared" si="5"/>
        <v>1127.8717500000002</v>
      </c>
      <c r="Q28" s="298"/>
      <c r="R28" s="298">
        <f>Яра!C8</f>
        <v>355.84199999999998</v>
      </c>
      <c r="S28" s="298">
        <f>Яра!D8</f>
        <v>565.41002000000003</v>
      </c>
      <c r="T28" s="291">
        <f t="shared" si="21"/>
        <v>158.8935595011269</v>
      </c>
      <c r="U28" s="291">
        <f>Яра!C9</f>
        <v>3.8159999999999998</v>
      </c>
      <c r="V28" s="291">
        <f>Яра!D9</f>
        <v>3.0541200000000002</v>
      </c>
      <c r="W28" s="291">
        <f t="shared" si="22"/>
        <v>80.034591194968556</v>
      </c>
      <c r="X28" s="291">
        <f>Яра!C10</f>
        <v>594.34199999999998</v>
      </c>
      <c r="Y28" s="291">
        <f>Яра!D10</f>
        <v>624.27652999999998</v>
      </c>
      <c r="Z28" s="291">
        <f t="shared" si="23"/>
        <v>105.0365833139842</v>
      </c>
      <c r="AA28" s="291">
        <f>Яра!C11</f>
        <v>0</v>
      </c>
      <c r="AB28" s="295">
        <f>Яра!D11</f>
        <v>-64.868920000000003</v>
      </c>
      <c r="AC28" s="291" t="e">
        <f t="shared" si="24"/>
        <v>#DIV/0!</v>
      </c>
      <c r="AD28" s="305">
        <f>Яра!C13</f>
        <v>20</v>
      </c>
      <c r="AE28" s="305">
        <f>Яра!D13</f>
        <v>10.15326</v>
      </c>
      <c r="AF28" s="298">
        <f t="shared" si="25"/>
        <v>50.766300000000001</v>
      </c>
      <c r="AG28" s="305">
        <f>Яра!C15</f>
        <v>385</v>
      </c>
      <c r="AH28" s="297">
        <f>Яра!D15</f>
        <v>315.43126999999998</v>
      </c>
      <c r="AI28" s="298">
        <f t="shared" si="26"/>
        <v>81.930199999999999</v>
      </c>
      <c r="AJ28" s="305">
        <f>Яра!C16</f>
        <v>1050</v>
      </c>
      <c r="AK28" s="305">
        <f>Яра!D16</f>
        <v>1064.14419</v>
      </c>
      <c r="AL28" s="298">
        <f t="shared" si="6"/>
        <v>101.3470657142857</v>
      </c>
      <c r="AM28" s="298">
        <f>Яра!C18</f>
        <v>8</v>
      </c>
      <c r="AN28" s="298">
        <f>Яра!D18</f>
        <v>2.98</v>
      </c>
      <c r="AO28" s="298">
        <f t="shared" si="27"/>
        <v>37.25</v>
      </c>
      <c r="AP28" s="298"/>
      <c r="AQ28" s="298"/>
      <c r="AR28" s="298" t="e">
        <f>AP28/AQ28*100</f>
        <v>#DIV/0!</v>
      </c>
      <c r="AS28" s="305">
        <v>0</v>
      </c>
      <c r="AT28" s="305">
        <v>0</v>
      </c>
      <c r="AU28" s="298" t="e">
        <f t="shared" si="8"/>
        <v>#DIV/0!</v>
      </c>
      <c r="AV28" s="305">
        <f>Яра!C27</f>
        <v>20</v>
      </c>
      <c r="AW28" s="306">
        <f>Яра!D27</f>
        <v>160.83423999999999</v>
      </c>
      <c r="AX28" s="298">
        <f t="shared" si="28"/>
        <v>804.1712</v>
      </c>
      <c r="AY28" s="300">
        <f>Яра!C28</f>
        <v>0</v>
      </c>
      <c r="AZ28" s="306">
        <f>Яра!D28</f>
        <v>0</v>
      </c>
      <c r="BA28" s="298" t="e">
        <f t="shared" si="29"/>
        <v>#DIV/0!</v>
      </c>
      <c r="BB28" s="305"/>
      <c r="BC28" s="305"/>
      <c r="BD28" s="298" t="e">
        <f t="shared" si="30"/>
        <v>#DIV/0!</v>
      </c>
      <c r="BE28" s="298">
        <f>Яра!C31</f>
        <v>50</v>
      </c>
      <c r="BF28" s="301">
        <f>Яра!D31</f>
        <v>80.687740000000005</v>
      </c>
      <c r="BG28" s="298">
        <f t="shared" si="31"/>
        <v>161.37548000000001</v>
      </c>
      <c r="BH28" s="298"/>
      <c r="BI28" s="298"/>
      <c r="BJ28" s="298"/>
      <c r="BK28" s="298">
        <f>Яра!C32</f>
        <v>137.274</v>
      </c>
      <c r="BL28" s="298">
        <f>SUM(Яра!D32)</f>
        <v>12.273999999999999</v>
      </c>
      <c r="BM28" s="298">
        <f t="shared" si="32"/>
        <v>8.9412416043824763</v>
      </c>
      <c r="BN28" s="298"/>
      <c r="BO28" s="298"/>
      <c r="BP28" s="298" t="e">
        <f t="shared" si="33"/>
        <v>#DIV/0!</v>
      </c>
      <c r="BQ28" s="298"/>
      <c r="BR28" s="298"/>
      <c r="BS28" s="298"/>
      <c r="BT28" s="298">
        <f>Яра!C35</f>
        <v>31.6</v>
      </c>
      <c r="BU28" s="298">
        <f>Яра!D35</f>
        <v>31.630479999999999</v>
      </c>
      <c r="BV28" s="291">
        <f t="shared" si="34"/>
        <v>100.09645569620251</v>
      </c>
      <c r="BW28" s="298">
        <f>Яра!C37</f>
        <v>287.08235999999999</v>
      </c>
      <c r="BX28" s="298">
        <f>Яра!D37</f>
        <v>788.09312</v>
      </c>
      <c r="BY28" s="298">
        <f t="shared" si="35"/>
        <v>274.51812782924037</v>
      </c>
      <c r="BZ28" s="298"/>
      <c r="CA28" s="298"/>
      <c r="CB28" s="307" t="e">
        <f t="shared" si="36"/>
        <v>#DIV/0!</v>
      </c>
      <c r="CC28" s="307"/>
      <c r="CD28" s="307"/>
      <c r="CE28" s="307" t="e">
        <f t="shared" si="37"/>
        <v>#DIV/0!</v>
      </c>
      <c r="CF28" s="296">
        <f t="shared" si="38"/>
        <v>11897.033239999999</v>
      </c>
      <c r="CG28" s="296">
        <f t="shared" si="39"/>
        <v>11854.222389999999</v>
      </c>
      <c r="CH28" s="298">
        <f t="shared" si="58"/>
        <v>99.640155245964507</v>
      </c>
      <c r="CI28" s="298">
        <f>Яра!C42</f>
        <v>3431.9</v>
      </c>
      <c r="CJ28" s="298">
        <f>Яра!D42</f>
        <v>3431.9</v>
      </c>
      <c r="CK28" s="298">
        <f t="shared" si="40"/>
        <v>100</v>
      </c>
      <c r="CL28" s="298">
        <f>Яра!C43</f>
        <v>0</v>
      </c>
      <c r="CM28" s="389">
        <f>Яра!D43</f>
        <v>0</v>
      </c>
      <c r="CN28" s="298" t="e">
        <f t="shared" si="41"/>
        <v>#DIV/0!</v>
      </c>
      <c r="CO28" s="298">
        <f>Яра!C44</f>
        <v>4194.3995699999996</v>
      </c>
      <c r="CP28" s="298">
        <f>Яра!D44</f>
        <v>4194.3995699999996</v>
      </c>
      <c r="CQ28" s="298">
        <f t="shared" si="9"/>
        <v>100</v>
      </c>
      <c r="CR28" s="298">
        <f>Яра!C45</f>
        <v>269.82522</v>
      </c>
      <c r="CS28" s="298">
        <f>Яра!D45</f>
        <v>269.82522</v>
      </c>
      <c r="CT28" s="298">
        <f t="shared" si="10"/>
        <v>100</v>
      </c>
      <c r="CU28" s="298">
        <f>Яра!C47</f>
        <v>4000.9084499999999</v>
      </c>
      <c r="CV28" s="298">
        <f>Яра!D47</f>
        <v>3958.0976000000001</v>
      </c>
      <c r="CW28" s="291">
        <f t="shared" si="42"/>
        <v>98.929971766787119</v>
      </c>
      <c r="CX28" s="309">
        <f>SUM(Яра!C51)</f>
        <v>0</v>
      </c>
      <c r="CY28" s="298">
        <f>Яра!D51</f>
        <v>0</v>
      </c>
      <c r="CZ28" s="298" t="e">
        <f t="shared" si="11"/>
        <v>#DIV/0!</v>
      </c>
      <c r="DA28" s="298"/>
      <c r="DB28" s="298"/>
      <c r="DC28" s="298"/>
      <c r="DD28" s="305"/>
      <c r="DE28" s="305"/>
      <c r="DF28" s="298" t="e">
        <f t="shared" si="43"/>
        <v>#DIV/0!</v>
      </c>
      <c r="DG28" s="298"/>
      <c r="DH28" s="298">
        <f>Яра!D46</f>
        <v>0</v>
      </c>
      <c r="DI28" s="298" t="e">
        <f>DH28/DG28</f>
        <v>#DIV/0!</v>
      </c>
      <c r="DJ28" s="298"/>
      <c r="DK28" s="298"/>
      <c r="DL28" s="298"/>
      <c r="DM28" s="300">
        <f t="shared" si="44"/>
        <v>16104.076509999999</v>
      </c>
      <c r="DN28" s="300">
        <f t="shared" si="44"/>
        <v>15778.0193</v>
      </c>
      <c r="DO28" s="298">
        <f t="shared" si="45"/>
        <v>97.975312587483486</v>
      </c>
      <c r="DP28" s="305">
        <f t="shared" si="46"/>
        <v>2315.0158499999998</v>
      </c>
      <c r="DQ28" s="305">
        <f t="shared" si="46"/>
        <v>2301.27882</v>
      </c>
      <c r="DR28" s="298">
        <f t="shared" si="47"/>
        <v>99.406611838100375</v>
      </c>
      <c r="DS28" s="298">
        <f>Яра!C59</f>
        <v>1894.40372</v>
      </c>
      <c r="DT28" s="298">
        <f>Яра!D59</f>
        <v>1886.66669</v>
      </c>
      <c r="DU28" s="298">
        <f t="shared" si="48"/>
        <v>99.591584944733953</v>
      </c>
      <c r="DV28" s="298">
        <f>Яра!C62</f>
        <v>0</v>
      </c>
      <c r="DW28" s="298">
        <f>Яра!D62</f>
        <v>0</v>
      </c>
      <c r="DX28" s="298" t="e">
        <f t="shared" si="49"/>
        <v>#DIV/0!</v>
      </c>
      <c r="DY28" s="298">
        <f>Яра!C63</f>
        <v>1</v>
      </c>
      <c r="DZ28" s="298">
        <f>Яра!D63</f>
        <v>0</v>
      </c>
      <c r="EA28" s="298">
        <f t="shared" si="50"/>
        <v>0</v>
      </c>
      <c r="EB28" s="298">
        <f>Яра!C64</f>
        <v>419.61212999999998</v>
      </c>
      <c r="EC28" s="298">
        <f>Яра!D64</f>
        <v>414.61212999999998</v>
      </c>
      <c r="ED28" s="298">
        <f t="shared" si="51"/>
        <v>98.80842338852311</v>
      </c>
      <c r="EE28" s="298">
        <f>Яра!C66</f>
        <v>269.82522</v>
      </c>
      <c r="EF28" s="298">
        <f>Яра!D65</f>
        <v>269.82522</v>
      </c>
      <c r="EG28" s="298">
        <f t="shared" si="52"/>
        <v>100</v>
      </c>
      <c r="EH28" s="298">
        <f>Яра!C67</f>
        <v>20.097239999999999</v>
      </c>
      <c r="EI28" s="298">
        <f>Яра!D67</f>
        <v>18.097239999999999</v>
      </c>
      <c r="EJ28" s="298">
        <f t="shared" si="53"/>
        <v>90.048384753329316</v>
      </c>
      <c r="EK28" s="305">
        <f>Яра!C73</f>
        <v>5626.7911999999997</v>
      </c>
      <c r="EL28" s="305">
        <f>Яра!D73</f>
        <v>5597.89606</v>
      </c>
      <c r="EM28" s="298">
        <f t="shared" si="54"/>
        <v>99.486472147749154</v>
      </c>
      <c r="EN28" s="305">
        <f>Яра!C78</f>
        <v>5876.0360000000001</v>
      </c>
      <c r="EO28" s="305">
        <f>Яра!D78</f>
        <v>5594.6333800000002</v>
      </c>
      <c r="EP28" s="298">
        <f t="shared" si="55"/>
        <v>95.211012662277767</v>
      </c>
      <c r="EQ28" s="305">
        <f>Яра!C82</f>
        <v>1974.3109999999999</v>
      </c>
      <c r="ER28" s="310">
        <f>Яра!D82</f>
        <v>1974.2885799999999</v>
      </c>
      <c r="ES28" s="298">
        <f t="shared" si="12"/>
        <v>99.998864413965165</v>
      </c>
      <c r="ET28" s="298">
        <f>Яра!C84</f>
        <v>0</v>
      </c>
      <c r="EU28" s="298">
        <f>Яра!D84</f>
        <v>0</v>
      </c>
      <c r="EV28" s="298" t="e">
        <f t="shared" si="13"/>
        <v>#DIV/0!</v>
      </c>
      <c r="EW28" s="311">
        <f>Яра!C89</f>
        <v>22</v>
      </c>
      <c r="EX28" s="311">
        <f>Яра!D89</f>
        <v>22</v>
      </c>
      <c r="EY28" s="298">
        <f t="shared" si="56"/>
        <v>100</v>
      </c>
      <c r="EZ28" s="298">
        <f>Яра!C95</f>
        <v>0</v>
      </c>
      <c r="FA28" s="298">
        <f>Яра!D95</f>
        <v>0</v>
      </c>
      <c r="FB28" s="291" t="e">
        <f t="shared" si="57"/>
        <v>#DIV/0!</v>
      </c>
      <c r="FC28" s="418">
        <f t="shared" si="14"/>
        <v>-942.68691000000035</v>
      </c>
      <c r="FD28" s="418">
        <f t="shared" si="15"/>
        <v>-63.911940000001778</v>
      </c>
      <c r="FE28" s="291">
        <f t="shared" si="59"/>
        <v>6.7797631771509117</v>
      </c>
      <c r="FF28" s="159"/>
      <c r="FG28" s="160"/>
      <c r="FI28" s="160"/>
    </row>
    <row r="29" spans="1:176" s="157" customFormat="1" ht="25.5" customHeight="1">
      <c r="A29" s="331">
        <v>16</v>
      </c>
      <c r="B29" s="332" t="s">
        <v>297</v>
      </c>
      <c r="C29" s="289">
        <f t="shared" si="16"/>
        <v>14647.336230000001</v>
      </c>
      <c r="D29" s="290">
        <f t="shared" si="0"/>
        <v>14590.397869999999</v>
      </c>
      <c r="E29" s="291">
        <f t="shared" si="1"/>
        <v>99.611271571117598</v>
      </c>
      <c r="F29" s="292">
        <f t="shared" si="17"/>
        <v>2671.8262399999999</v>
      </c>
      <c r="G29" s="292">
        <f t="shared" si="3"/>
        <v>3345.7953099999995</v>
      </c>
      <c r="H29" s="291">
        <f t="shared" si="18"/>
        <v>125.22503372075573</v>
      </c>
      <c r="I29" s="291">
        <f t="shared" si="19"/>
        <v>1525.98</v>
      </c>
      <c r="J29" s="291"/>
      <c r="K29" s="291"/>
      <c r="L29" s="296">
        <f>Ярос!C6</f>
        <v>120</v>
      </c>
      <c r="M29" s="383">
        <f>Ярос!D6</f>
        <v>91.677109999999999</v>
      </c>
      <c r="N29" s="291">
        <f t="shared" si="20"/>
        <v>76.397591666666671</v>
      </c>
      <c r="O29" s="291">
        <f t="shared" si="4"/>
        <v>547.98</v>
      </c>
      <c r="P29" s="291">
        <f t="shared" si="5"/>
        <v>647.85488999999995</v>
      </c>
      <c r="Q29" s="291"/>
      <c r="R29" s="291">
        <f>Ярос!C8</f>
        <v>204.39599999999999</v>
      </c>
      <c r="S29" s="291">
        <f>Ярос!D8</f>
        <v>324.77418999999998</v>
      </c>
      <c r="T29" s="291">
        <f t="shared" si="21"/>
        <v>158.8945918706824</v>
      </c>
      <c r="U29" s="291">
        <f>Ярос!C9</f>
        <v>2.1920000000000002</v>
      </c>
      <c r="V29" s="291">
        <f>Ярос!D9</f>
        <v>1.75431</v>
      </c>
      <c r="W29" s="291">
        <f t="shared" si="22"/>
        <v>80.0323905109489</v>
      </c>
      <c r="X29" s="291">
        <f>Ярос!C10</f>
        <v>341.392</v>
      </c>
      <c r="Y29" s="291">
        <f>Ярос!D10</f>
        <v>358.58740999999998</v>
      </c>
      <c r="Z29" s="291">
        <f t="shared" si="23"/>
        <v>105.03685206448891</v>
      </c>
      <c r="AA29" s="291">
        <f>Ярос!C11</f>
        <v>0</v>
      </c>
      <c r="AB29" s="295">
        <f>Ярос!D11</f>
        <v>-37.261020000000002</v>
      </c>
      <c r="AC29" s="291" t="e">
        <f t="shared" si="24"/>
        <v>#DIV/0!</v>
      </c>
      <c r="AD29" s="296">
        <f>Ярос!C13</f>
        <v>10</v>
      </c>
      <c r="AE29" s="296">
        <f>Ярос!D13</f>
        <v>0.26638000000000001</v>
      </c>
      <c r="AF29" s="291">
        <f t="shared" si="25"/>
        <v>2.6638000000000002</v>
      </c>
      <c r="AG29" s="296">
        <f>Ярос!C15</f>
        <v>323</v>
      </c>
      <c r="AH29" s="297">
        <f>Ярос!D15</f>
        <v>296.83465000000001</v>
      </c>
      <c r="AI29" s="291">
        <f t="shared" si="26"/>
        <v>91.899272445820429</v>
      </c>
      <c r="AJ29" s="296">
        <f>Ярос!C16</f>
        <v>520</v>
      </c>
      <c r="AK29" s="296">
        <f>Ярос!D16</f>
        <v>553.06150000000002</v>
      </c>
      <c r="AL29" s="291">
        <f t="shared" si="6"/>
        <v>106.35798076923078</v>
      </c>
      <c r="AM29" s="291">
        <f>Ярос!C18</f>
        <v>5</v>
      </c>
      <c r="AN29" s="291">
        <f>Ярос!D18</f>
        <v>1.0900000000000001</v>
      </c>
      <c r="AO29" s="291">
        <f t="shared" si="27"/>
        <v>21.800000000000004</v>
      </c>
      <c r="AP29" s="291"/>
      <c r="AQ29" s="291"/>
      <c r="AR29" s="291" t="e">
        <f>AP29/AQ29*100</f>
        <v>#DIV/0!</v>
      </c>
      <c r="AS29" s="296">
        <v>0</v>
      </c>
      <c r="AT29" s="296">
        <v>0</v>
      </c>
      <c r="AU29" s="291" t="e">
        <f t="shared" si="8"/>
        <v>#DIV/0!</v>
      </c>
      <c r="AV29" s="296">
        <f>Ярос!C26</f>
        <v>320</v>
      </c>
      <c r="AW29" s="299">
        <f>Ярос!D27</f>
        <v>487.66397999999998</v>
      </c>
      <c r="AX29" s="291">
        <f t="shared" si="28"/>
        <v>152.39499375</v>
      </c>
      <c r="AY29" s="300">
        <v>0</v>
      </c>
      <c r="AZ29" s="299">
        <f>Ярос!D28</f>
        <v>0</v>
      </c>
      <c r="BA29" s="291" t="e">
        <f t="shared" si="29"/>
        <v>#DIV/0!</v>
      </c>
      <c r="BB29" s="296"/>
      <c r="BC29" s="296"/>
      <c r="BD29" s="291" t="e">
        <f t="shared" si="30"/>
        <v>#DIV/0!</v>
      </c>
      <c r="BE29" s="291"/>
      <c r="BF29" s="301">
        <f>Ярос!D29</f>
        <v>0</v>
      </c>
      <c r="BG29" s="291" t="e">
        <f t="shared" si="31"/>
        <v>#DIV/0!</v>
      </c>
      <c r="BH29" s="291"/>
      <c r="BI29" s="291"/>
      <c r="BJ29" s="291"/>
      <c r="BK29" s="291">
        <f>Ярос!C31</f>
        <v>0</v>
      </c>
      <c r="BL29" s="291">
        <f>Ярос!D31</f>
        <v>0</v>
      </c>
      <c r="BM29" s="291" t="e">
        <f t="shared" si="32"/>
        <v>#DIV/0!</v>
      </c>
      <c r="BN29" s="291"/>
      <c r="BO29" s="291"/>
      <c r="BP29" s="291" t="e">
        <f t="shared" si="33"/>
        <v>#DIV/0!</v>
      </c>
      <c r="BQ29" s="291"/>
      <c r="BR29" s="291"/>
      <c r="BS29" s="291"/>
      <c r="BT29" s="291">
        <f>Ярос!C34</f>
        <v>0</v>
      </c>
      <c r="BU29" s="291">
        <f>Ярос!D34</f>
        <v>41.4968</v>
      </c>
      <c r="BV29" s="291" t="e">
        <f t="shared" si="34"/>
        <v>#DIV/0!</v>
      </c>
      <c r="BW29" s="291">
        <f>SUM(Ярос!C36)</f>
        <v>825.84623999999997</v>
      </c>
      <c r="BX29" s="291">
        <f>SUM(Ярос!D36)</f>
        <v>1225.8499999999999</v>
      </c>
      <c r="BY29" s="291">
        <f t="shared" si="35"/>
        <v>148.43562162370563</v>
      </c>
      <c r="BZ29" s="291"/>
      <c r="CA29" s="291"/>
      <c r="CB29" s="303" t="e">
        <f t="shared" si="36"/>
        <v>#DIV/0!</v>
      </c>
      <c r="CC29" s="303"/>
      <c r="CD29" s="303"/>
      <c r="CE29" s="303" t="e">
        <f t="shared" si="37"/>
        <v>#DIV/0!</v>
      </c>
      <c r="CF29" s="296">
        <f t="shared" si="38"/>
        <v>11975.50999</v>
      </c>
      <c r="CG29" s="296">
        <f t="shared" si="39"/>
        <v>11244.602559999999</v>
      </c>
      <c r="CH29" s="291">
        <f t="shared" si="58"/>
        <v>93.896648822385558</v>
      </c>
      <c r="CI29" s="298">
        <f>Ярос!C40</f>
        <v>2129.1</v>
      </c>
      <c r="CJ29" s="298">
        <f>Ярос!D40</f>
        <v>2129.1</v>
      </c>
      <c r="CK29" s="291">
        <f t="shared" si="40"/>
        <v>100</v>
      </c>
      <c r="CL29" s="291">
        <f>Ярос!C41</f>
        <v>0</v>
      </c>
      <c r="CM29" s="388">
        <f>Ярос!D41</f>
        <v>0</v>
      </c>
      <c r="CN29" s="291" t="e">
        <f t="shared" si="41"/>
        <v>#DIV/0!</v>
      </c>
      <c r="CO29" s="291">
        <f>Ярос!C42</f>
        <v>6333.7063699999999</v>
      </c>
      <c r="CP29" s="291">
        <f>Ярос!D42</f>
        <v>5921.0460800000001</v>
      </c>
      <c r="CQ29" s="291">
        <f t="shared" si="9"/>
        <v>93.484694965421966</v>
      </c>
      <c r="CR29" s="291">
        <f>Ярос!C43</f>
        <v>44.321980000000003</v>
      </c>
      <c r="CS29" s="291">
        <f>Ярос!D43</f>
        <v>44.321980000000003</v>
      </c>
      <c r="CT29" s="291">
        <f t="shared" si="10"/>
        <v>100</v>
      </c>
      <c r="CU29" s="291">
        <f>Ярос!C45</f>
        <v>3468.3816400000001</v>
      </c>
      <c r="CV29" s="291">
        <f>Ярос!D45</f>
        <v>3150.1345000000001</v>
      </c>
      <c r="CW29" s="291">
        <f t="shared" si="42"/>
        <v>90.824333276080893</v>
      </c>
      <c r="CX29" s="295">
        <f>Ярос!C46</f>
        <v>0</v>
      </c>
      <c r="CY29" s="291">
        <f>Ярос!D46</f>
        <v>0</v>
      </c>
      <c r="CZ29" s="291" t="e">
        <f t="shared" si="11"/>
        <v>#DIV/0!</v>
      </c>
      <c r="DA29" s="291"/>
      <c r="DB29" s="291"/>
      <c r="DC29" s="291"/>
      <c r="DD29" s="296"/>
      <c r="DE29" s="296"/>
      <c r="DF29" s="291" t="e">
        <f t="shared" si="43"/>
        <v>#DIV/0!</v>
      </c>
      <c r="DG29" s="291"/>
      <c r="DH29" s="291"/>
      <c r="DI29" s="291"/>
      <c r="DJ29" s="291"/>
      <c r="DK29" s="291"/>
      <c r="DL29" s="291"/>
      <c r="DM29" s="300">
        <f t="shared" si="44"/>
        <v>15025.927579999998</v>
      </c>
      <c r="DN29" s="300">
        <f t="shared" si="44"/>
        <v>13933.535329999999</v>
      </c>
      <c r="DO29" s="291">
        <f t="shared" si="45"/>
        <v>92.72995131792058</v>
      </c>
      <c r="DP29" s="296">
        <f t="shared" si="46"/>
        <v>1586.1167099999998</v>
      </c>
      <c r="DQ29" s="296">
        <f t="shared" si="46"/>
        <v>1449.2165100000002</v>
      </c>
      <c r="DR29" s="291">
        <f t="shared" si="47"/>
        <v>91.368844478033424</v>
      </c>
      <c r="DS29" s="291">
        <f>Ярос!C56</f>
        <v>1492.4967099999999</v>
      </c>
      <c r="DT29" s="291">
        <f>Ярос!D56</f>
        <v>1365.5965100000001</v>
      </c>
      <c r="DU29" s="291">
        <f t="shared" si="48"/>
        <v>91.497455294223073</v>
      </c>
      <c r="DV29" s="291">
        <f>Ярос!C59</f>
        <v>0</v>
      </c>
      <c r="DW29" s="291">
        <f>Ярос!D59</f>
        <v>0</v>
      </c>
      <c r="DX29" s="291" t="e">
        <f t="shared" si="49"/>
        <v>#DIV/0!</v>
      </c>
      <c r="DY29" s="291">
        <f>Ярос!C60</f>
        <v>5</v>
      </c>
      <c r="DZ29" s="291">
        <f>Ярос!D60</f>
        <v>0</v>
      </c>
      <c r="EA29" s="291">
        <f t="shared" si="50"/>
        <v>0</v>
      </c>
      <c r="EB29" s="291">
        <f>Ярос!C61</f>
        <v>88.62</v>
      </c>
      <c r="EC29" s="291">
        <f>Ярос!D61</f>
        <v>83.62</v>
      </c>
      <c r="ED29" s="291">
        <f t="shared" si="51"/>
        <v>94.357932746558333</v>
      </c>
      <c r="EE29" s="291">
        <f>Ярос!C62</f>
        <v>44.321980000000003</v>
      </c>
      <c r="EF29" s="291">
        <f>Ярос!D62</f>
        <v>44.321980000000003</v>
      </c>
      <c r="EG29" s="291">
        <f t="shared" si="52"/>
        <v>100</v>
      </c>
      <c r="EH29" s="291">
        <f>Ярос!C64</f>
        <v>37.598399999999998</v>
      </c>
      <c r="EI29" s="291">
        <f>Ярос!D64</f>
        <v>37.59834</v>
      </c>
      <c r="EJ29" s="291">
        <f t="shared" si="53"/>
        <v>99.999840418741229</v>
      </c>
      <c r="EK29" s="296">
        <f>Ярос!C70</f>
        <v>1178.02135</v>
      </c>
      <c r="EL29" s="296">
        <f>Ярос!D70</f>
        <v>958.36656000000005</v>
      </c>
      <c r="EM29" s="291">
        <f t="shared" si="54"/>
        <v>81.353921132244338</v>
      </c>
      <c r="EN29" s="296">
        <f>Ярос!C75</f>
        <v>10952.36614</v>
      </c>
      <c r="EO29" s="296">
        <f>Ярос!D75</f>
        <v>10240.9421</v>
      </c>
      <c r="EP29" s="291">
        <f t="shared" si="55"/>
        <v>93.50438041509814</v>
      </c>
      <c r="EQ29" s="296">
        <f>Ярос!C80</f>
        <v>1224.953</v>
      </c>
      <c r="ER29" s="304">
        <f>Ярос!D79</f>
        <v>1200.5398399999999</v>
      </c>
      <c r="ES29" s="291">
        <f t="shared" si="12"/>
        <v>98.007012513949505</v>
      </c>
      <c r="ET29" s="291">
        <f>Ярос!C81</f>
        <v>0</v>
      </c>
      <c r="EU29" s="291">
        <f>Ярос!D81</f>
        <v>0</v>
      </c>
      <c r="EV29" s="291" t="e">
        <f t="shared" si="13"/>
        <v>#DIV/0!</v>
      </c>
      <c r="EW29" s="292">
        <f>Ярос!C86</f>
        <v>2.5499999999999998</v>
      </c>
      <c r="EX29" s="292">
        <f>Ярос!D86</f>
        <v>2.5499999999999998</v>
      </c>
      <c r="EY29" s="291">
        <f t="shared" si="56"/>
        <v>100</v>
      </c>
      <c r="EZ29" s="291">
        <f>Ярос!C92</f>
        <v>0</v>
      </c>
      <c r="FA29" s="291">
        <f>Ярос!D92</f>
        <v>0</v>
      </c>
      <c r="FB29" s="291" t="e">
        <f t="shared" si="57"/>
        <v>#DIV/0!</v>
      </c>
      <c r="FC29" s="418">
        <f t="shared" si="14"/>
        <v>-378.59134999999696</v>
      </c>
      <c r="FD29" s="418">
        <f t="shared" si="15"/>
        <v>656.86254000000008</v>
      </c>
      <c r="FE29" s="291">
        <f t="shared" si="59"/>
        <v>-173.50172950333001</v>
      </c>
      <c r="FF29" s="159"/>
      <c r="FG29" s="160"/>
      <c r="FI29" s="160"/>
    </row>
    <row r="30" spans="1:176" s="157" customFormat="1" ht="17.25" customHeight="1">
      <c r="A30" s="338"/>
      <c r="B30" s="339"/>
      <c r="C30" s="320"/>
      <c r="D30" s="321"/>
      <c r="E30" s="291"/>
      <c r="F30" s="292"/>
      <c r="G30" s="296"/>
      <c r="H30" s="291"/>
      <c r="I30" s="291"/>
      <c r="J30" s="291"/>
      <c r="K30" s="291"/>
      <c r="L30" s="296"/>
      <c r="M30" s="384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323"/>
      <c r="AC30" s="291"/>
      <c r="AD30" s="296"/>
      <c r="AE30" s="296"/>
      <c r="AF30" s="291"/>
      <c r="AG30" s="296"/>
      <c r="AH30" s="296"/>
      <c r="AI30" s="291"/>
      <c r="AJ30" s="296"/>
      <c r="AK30" s="296"/>
      <c r="AL30" s="291"/>
      <c r="AM30" s="291"/>
      <c r="AN30" s="291"/>
      <c r="AO30" s="291"/>
      <c r="AP30" s="291"/>
      <c r="AQ30" s="291"/>
      <c r="AR30" s="291"/>
      <c r="AS30" s="296"/>
      <c r="AT30" s="296"/>
      <c r="AU30" s="291"/>
      <c r="AV30" s="296"/>
      <c r="AW30" s="296"/>
      <c r="AX30" s="291"/>
      <c r="AY30" s="296"/>
      <c r="AZ30" s="299"/>
      <c r="BA30" s="291"/>
      <c r="BB30" s="296"/>
      <c r="BC30" s="296"/>
      <c r="BD30" s="291"/>
      <c r="BE30" s="291"/>
      <c r="BF30" s="30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303"/>
      <c r="CC30" s="303"/>
      <c r="CD30" s="303"/>
      <c r="CE30" s="303"/>
      <c r="CF30" s="296"/>
      <c r="CG30" s="296"/>
      <c r="CH30" s="291"/>
      <c r="CI30" s="291"/>
      <c r="CJ30" s="291"/>
      <c r="CK30" s="291"/>
      <c r="CL30" s="291"/>
      <c r="CM30" s="388"/>
      <c r="CN30" s="388"/>
      <c r="CO30" s="291"/>
      <c r="CP30" s="291"/>
      <c r="CQ30" s="291"/>
      <c r="CR30" s="291"/>
      <c r="CS30" s="291"/>
      <c r="CT30" s="291"/>
      <c r="CU30" s="291"/>
      <c r="CV30" s="291"/>
      <c r="CW30" s="291"/>
      <c r="CX30" s="323"/>
      <c r="CY30" s="291"/>
      <c r="CZ30" s="291"/>
      <c r="DA30" s="291"/>
      <c r="DB30" s="291"/>
      <c r="DC30" s="291"/>
      <c r="DD30" s="296"/>
      <c r="DE30" s="296"/>
      <c r="DF30" s="291"/>
      <c r="DG30" s="291"/>
      <c r="DH30" s="291"/>
      <c r="DI30" s="291"/>
      <c r="DJ30" s="291"/>
      <c r="DK30" s="291"/>
      <c r="DL30" s="291"/>
      <c r="DM30" s="296"/>
      <c r="DN30" s="296"/>
      <c r="DO30" s="291"/>
      <c r="DP30" s="296"/>
      <c r="DQ30" s="322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302"/>
      <c r="EG30" s="291"/>
      <c r="EH30" s="291"/>
      <c r="EI30" s="291"/>
      <c r="EJ30" s="291"/>
      <c r="EK30" s="296"/>
      <c r="EL30" s="296"/>
      <c r="EM30" s="291"/>
      <c r="EN30" s="296"/>
      <c r="EO30" s="296"/>
      <c r="EP30" s="291"/>
      <c r="EQ30" s="296"/>
      <c r="ER30" s="296"/>
      <c r="ES30" s="291"/>
      <c r="ET30" s="291"/>
      <c r="EU30" s="291"/>
      <c r="EV30" s="291"/>
      <c r="EW30" s="292"/>
      <c r="EX30" s="292"/>
      <c r="EY30" s="291"/>
      <c r="EZ30" s="291"/>
      <c r="FA30" s="291"/>
      <c r="FB30" s="291"/>
      <c r="FC30" s="418"/>
      <c r="FD30" s="418"/>
      <c r="FE30" s="291"/>
      <c r="FG30" s="160"/>
      <c r="FI30" s="160"/>
    </row>
    <row r="31" spans="1:176" s="163" customFormat="1" ht="18.75">
      <c r="A31" s="611" t="s">
        <v>172</v>
      </c>
      <c r="B31" s="612"/>
      <c r="C31" s="324">
        <f>SUM(C14:C29)</f>
        <v>283159.92469000007</v>
      </c>
      <c r="D31" s="324">
        <f>SUM(D14:D29)</f>
        <v>255369.48248999999</v>
      </c>
      <c r="E31" s="325">
        <f>D31/C31*100</f>
        <v>90.185601924274877</v>
      </c>
      <c r="F31" s="326">
        <f>SUM(F14:F29)</f>
        <v>54196.909850000004</v>
      </c>
      <c r="G31" s="327">
        <f>SUM(G14:G29)</f>
        <v>64192.533090000004</v>
      </c>
      <c r="H31" s="325">
        <f>G31/F31*100</f>
        <v>118.44316081426921</v>
      </c>
      <c r="I31" s="325"/>
      <c r="J31" s="325"/>
      <c r="K31" s="325"/>
      <c r="L31" s="327">
        <f>SUM(L14:L29)</f>
        <v>6695.4</v>
      </c>
      <c r="M31" s="385">
        <f>SUM(M14:M29)</f>
        <v>7710.6098499999998</v>
      </c>
      <c r="N31" s="325">
        <f>M31/L31*100</f>
        <v>115.16279609881413</v>
      </c>
      <c r="O31" s="325"/>
      <c r="P31" s="325"/>
      <c r="Q31" s="325"/>
      <c r="R31" s="325">
        <f>SUM(R14:R29)</f>
        <v>4337.4410099999996</v>
      </c>
      <c r="S31" s="325">
        <f>SUM(S14:S29)</f>
        <v>6125.2751800000005</v>
      </c>
      <c r="T31" s="325">
        <f>S31/R31*100</f>
        <v>141.21863942075839</v>
      </c>
      <c r="U31" s="325">
        <f>SUM(U14:U29)</f>
        <v>41.338000000000001</v>
      </c>
      <c r="V31" s="325">
        <f>SUM(V14:V29)</f>
        <v>33.08605</v>
      </c>
      <c r="W31" s="325">
        <f>V31/U31*100</f>
        <v>80.037858628864484</v>
      </c>
      <c r="X31" s="325">
        <f>SUM(X14:X29)</f>
        <v>6438.7049999999999</v>
      </c>
      <c r="Y31" s="325">
        <f>SUM(Y14:Y29)</f>
        <v>6762.9955899999995</v>
      </c>
      <c r="Z31" s="325">
        <f>Y31/X31*100</f>
        <v>105.03658095843807</v>
      </c>
      <c r="AA31" s="325">
        <f>SUM(AA14:AA29)</f>
        <v>0</v>
      </c>
      <c r="AB31" s="325">
        <f>SUM(AB14:AB29)</f>
        <v>-702.74677999999994</v>
      </c>
      <c r="AC31" s="325" t="e">
        <f>AB31/AA31*100</f>
        <v>#DIV/0!</v>
      </c>
      <c r="AD31" s="327">
        <f>SUM(AD14:AD29)</f>
        <v>530</v>
      </c>
      <c r="AE31" s="327">
        <f>SUM(AE14:AE29)</f>
        <v>548.69536000000005</v>
      </c>
      <c r="AF31" s="325">
        <f>AE31/AD31*100</f>
        <v>103.52742641509435</v>
      </c>
      <c r="AG31" s="327">
        <f>SUM(AG14:AG29)</f>
        <v>6780</v>
      </c>
      <c r="AH31" s="327">
        <f>SUM(AH14:AH29)</f>
        <v>6621.3053499999987</v>
      </c>
      <c r="AI31" s="325">
        <f>AH31/AG31*100</f>
        <v>97.65937094395278</v>
      </c>
      <c r="AJ31" s="327">
        <f>SUM(AJ14:AJ29)</f>
        <v>15252.78858</v>
      </c>
      <c r="AK31" s="327">
        <f>SUM(AK14:AK29)</f>
        <v>15139.576270000001</v>
      </c>
      <c r="AL31" s="325">
        <f>AK31/AJ31*100</f>
        <v>99.257759921038655</v>
      </c>
      <c r="AM31" s="328">
        <f>SUM(AM14:AM29)</f>
        <v>97</v>
      </c>
      <c r="AN31" s="325">
        <f>SUM(AN14:AN29)</f>
        <v>66.78</v>
      </c>
      <c r="AO31" s="291">
        <f t="shared" si="27"/>
        <v>68.845360824742272</v>
      </c>
      <c r="AP31" s="327">
        <f>AP14+AP15+AP16+AP17+AP18+AP19+AP20+AP21+AP22+AP23+AP24+AP25+AP26+AP27+AP28+AP29</f>
        <v>0</v>
      </c>
      <c r="AQ31" s="327">
        <f>AQ14+AQ15+AQ16+AQ17+AQ18+AQ19+AQ20+AQ21+AQ22+AQ23+AQ24+AQ25+AQ26+AQ27+AQ28+AQ29</f>
        <v>3.65E-3</v>
      </c>
      <c r="AR31" s="291" t="e">
        <f>AQ31/AP31*100</f>
        <v>#DIV/0!</v>
      </c>
      <c r="AS31" s="327">
        <f>SUM(AS14:AS29)</f>
        <v>0</v>
      </c>
      <c r="AT31" s="327">
        <f>SUM(AT14:AT29)</f>
        <v>0</v>
      </c>
      <c r="AU31" s="325" t="e">
        <f>AT31/AS31*100</f>
        <v>#DIV/0!</v>
      </c>
      <c r="AV31" s="327">
        <f>SUM(AV14:AV29)</f>
        <v>2352.0106400000004</v>
      </c>
      <c r="AW31" s="327">
        <f>SUM(AW14:AW29)</f>
        <v>3175.8159999999998</v>
      </c>
      <c r="AX31" s="325">
        <f>AW31/AV31*100</f>
        <v>135.02557964618728</v>
      </c>
      <c r="AY31" s="327">
        <f>SUM(AY14:AY29)</f>
        <v>238</v>
      </c>
      <c r="AZ31" s="396">
        <f>SUM(AZ14:AZ29)</f>
        <v>364.81914</v>
      </c>
      <c r="BA31" s="325">
        <f>AZ31/AY31*100</f>
        <v>153.28535294117646</v>
      </c>
      <c r="BB31" s="327">
        <f>SUM(BB14:BB29)</f>
        <v>0</v>
      </c>
      <c r="BC31" s="327">
        <f>SUM(BC14:BC29)</f>
        <v>0</v>
      </c>
      <c r="BD31" s="325" t="e">
        <f>BC31/BB31*100</f>
        <v>#DIV/0!</v>
      </c>
      <c r="BE31" s="325">
        <f>SUM(BE14:BE29)</f>
        <v>590</v>
      </c>
      <c r="BF31" s="325">
        <f>SUM(BF14:BF29)</f>
        <v>1238.6290300000001</v>
      </c>
      <c r="BG31" s="291">
        <f t="shared" si="31"/>
        <v>209.93712372881359</v>
      </c>
      <c r="BH31" s="291">
        <f>SUM(BH14:BH29)</f>
        <v>0</v>
      </c>
      <c r="BI31" s="291">
        <f>SUM(BI14:BI29)</f>
        <v>0.35255999999999998</v>
      </c>
      <c r="BJ31" s="291" t="e">
        <f>BI31/BH31*100</f>
        <v>#DIV/0!</v>
      </c>
      <c r="BK31" s="326">
        <f>SUM(BK14:BK29)</f>
        <v>2843.7265000000002</v>
      </c>
      <c r="BL31" s="327">
        <f>SUM(BL14:BL29)</f>
        <v>4120.4327000000003</v>
      </c>
      <c r="BM31" s="327">
        <f t="shared" si="32"/>
        <v>144.89553408177616</v>
      </c>
      <c r="BN31" s="327">
        <f>SUM(BN14:BN29)</f>
        <v>0</v>
      </c>
      <c r="BO31" s="327">
        <f>SUM(BO14:BO29)</f>
        <v>0</v>
      </c>
      <c r="BP31" s="325" t="e">
        <f>BO31/BN31*100</f>
        <v>#DIV/0!</v>
      </c>
      <c r="BQ31" s="325">
        <f>SUM(BQ14:BQ29)</f>
        <v>0</v>
      </c>
      <c r="BR31" s="325">
        <f>BR15+BR27+BR28+BR19+BR22+BR26+BR18</f>
        <v>144.43316999999999</v>
      </c>
      <c r="BS31" s="325" t="e">
        <f>BR31/BQ31*100</f>
        <v>#DIV/0!</v>
      </c>
      <c r="BT31" s="325">
        <f>BT14+BT15+BT16+BT17+BT18+BT19+BT20+BT21+BT22+BT23+BT24+BT25+BT26+BT27+BT28+BT29</f>
        <v>125.13601</v>
      </c>
      <c r="BU31" s="325">
        <f>BU14+BU15+BU16+BU17+BU18+BU19+BU20+BU21+BU22+BU23+BU24+BU25+BU26+BU27+BU28+BU29</f>
        <v>624.01130999999998</v>
      </c>
      <c r="BV31" s="325">
        <f>BU31/BT31*100</f>
        <v>498.66645899929205</v>
      </c>
      <c r="BW31" s="327">
        <f>SUM(BW14:BW29)</f>
        <v>7875.3641100000013</v>
      </c>
      <c r="BX31" s="327">
        <f>SUM(BX14:BX29)</f>
        <v>12363.24439</v>
      </c>
      <c r="BY31" s="325">
        <f>BX31/BW31*100</f>
        <v>156.98632110611069</v>
      </c>
      <c r="BZ31" s="325">
        <f t="shared" ref="BZ31:CE31" si="60">SUM(BZ14:BZ29)</f>
        <v>0</v>
      </c>
      <c r="CA31" s="325"/>
      <c r="CB31" s="325" t="e">
        <f t="shared" si="60"/>
        <v>#DIV/0!</v>
      </c>
      <c r="CC31" s="325">
        <f t="shared" si="60"/>
        <v>0</v>
      </c>
      <c r="CD31" s="325">
        <f t="shared" si="60"/>
        <v>0</v>
      </c>
      <c r="CE31" s="329" t="e">
        <f t="shared" si="60"/>
        <v>#DIV/0!</v>
      </c>
      <c r="CF31" s="326">
        <f>SUM(CF14:CF29)</f>
        <v>228963.01483999999</v>
      </c>
      <c r="CG31" s="327">
        <f>SUM(CG14:CG29)</f>
        <v>191176.94940000001</v>
      </c>
      <c r="CH31" s="327">
        <f t="shared" si="58"/>
        <v>83.496869367131197</v>
      </c>
      <c r="CI31" s="327">
        <f>SUM(CI14:CI29)</f>
        <v>53257.100000000006</v>
      </c>
      <c r="CJ31" s="327">
        <f>SUM(CJ14:CJ29)</f>
        <v>53257.100000000006</v>
      </c>
      <c r="CK31" s="327">
        <f>CJ31/CI31*100</f>
        <v>100</v>
      </c>
      <c r="CL31" s="326">
        <f>SUM(CL14:CL29)</f>
        <v>0</v>
      </c>
      <c r="CM31" s="391">
        <f>SUM(CM14:CM29)</f>
        <v>0</v>
      </c>
      <c r="CN31" s="391" t="e">
        <f>CM31/CL31*100</f>
        <v>#DIV/0!</v>
      </c>
      <c r="CO31" s="327">
        <f>SUM(CO14:CO29)</f>
        <v>142600.58229000002</v>
      </c>
      <c r="CP31" s="327">
        <f>SUM(CP14:CP29)</f>
        <v>108006.6292</v>
      </c>
      <c r="CQ31" s="327">
        <f>CP31/CO31*100</f>
        <v>75.7406649156257</v>
      </c>
      <c r="CR31" s="327">
        <f>SUM(CR14:CR29)</f>
        <v>2696.2000000000003</v>
      </c>
      <c r="CS31" s="327">
        <f>SUM(CS14:CS29)</f>
        <v>2696.1723000000002</v>
      </c>
      <c r="CT31" s="327">
        <f t="shared" si="10"/>
        <v>99.998972628143306</v>
      </c>
      <c r="CU31" s="327">
        <f>SUM(CU14:CU29)</f>
        <v>30409.132549999995</v>
      </c>
      <c r="CV31" s="327">
        <f>SUM(CV14:CV29)</f>
        <v>27217.047900000001</v>
      </c>
      <c r="CW31" s="327">
        <f>CV31/CU31*100</f>
        <v>89.502875017064582</v>
      </c>
      <c r="CX31" s="327">
        <f>SUM(CX14:CX29)</f>
        <v>0</v>
      </c>
      <c r="CY31" s="327">
        <f>SUM(CY14:CY29)</f>
        <v>0</v>
      </c>
      <c r="CZ31" s="327" t="e">
        <f t="shared" si="11"/>
        <v>#DIV/0!</v>
      </c>
      <c r="DA31" s="327">
        <f>SUM(DA14:DA29)</f>
        <v>0</v>
      </c>
      <c r="DB31" s="327">
        <f>SUM(DB14:DB29)</f>
        <v>0</v>
      </c>
      <c r="DC31" s="327" t="e">
        <f>DB31/DA31*100</f>
        <v>#DIV/0!</v>
      </c>
      <c r="DD31" s="327">
        <f>SUM(DD14:DD29)</f>
        <v>0</v>
      </c>
      <c r="DE31" s="327">
        <f>SUM(DE14:DE29)</f>
        <v>0</v>
      </c>
      <c r="DF31" s="325" t="e">
        <f>DE31/DD31*100</f>
        <v>#DIV/0!</v>
      </c>
      <c r="DG31" s="325">
        <f>DG14+DG15+DG16+DG17+DG18+DG19+DG20+DG21+DG22+DG23+DG24+DG25+DG26+DG27+DG28+DG29</f>
        <v>0</v>
      </c>
      <c r="DH31" s="325">
        <f>DH14+DH15+DH16+DH17+DH18+DH19+DH20+DH21+DH22+DH23+DH24+DH25+DH26+DH27+DH28+DH29</f>
        <v>0</v>
      </c>
      <c r="DI31" s="325" t="e">
        <f>DH31/DG31*100</f>
        <v>#DIV/0!</v>
      </c>
      <c r="DJ31" s="325">
        <f>DJ14+DJ15+DJ16+DJ17+DJ18+DJ19+DJ20+DJ21+DJ22+DJ23+DJ24+DJ25+DJ26+DJ27+DJ28+DJ29</f>
        <v>0</v>
      </c>
      <c r="DK31" s="325">
        <f>DK14+DK15+DK16+DK17+DK18+DK19+DK20+DK21+DK22+DK23+DK24+DK25+DK26+DK27+DK28+DK29</f>
        <v>0</v>
      </c>
      <c r="DL31" s="325">
        <v>0</v>
      </c>
      <c r="DM31" s="326">
        <f>SUM(DM14:DM29)</f>
        <v>296888.00379000005</v>
      </c>
      <c r="DN31" s="326">
        <f>SUM(DN14:DN29)</f>
        <v>252077.02749999997</v>
      </c>
      <c r="DO31" s="325">
        <f>DN31/DM31*100</f>
        <v>84.906437539424275</v>
      </c>
      <c r="DP31" s="326">
        <f>SUM(DP14:DP29)</f>
        <v>30310.566969999996</v>
      </c>
      <c r="DQ31" s="326">
        <f>SUM(DQ14:DQ29)</f>
        <v>28907.540499999996</v>
      </c>
      <c r="DR31" s="325">
        <f>DQ31/DP31*100</f>
        <v>95.371163886875976</v>
      </c>
      <c r="DS31" s="327">
        <f>SUM(DS14:DS29)</f>
        <v>29144.526329999997</v>
      </c>
      <c r="DT31" s="326">
        <f>SUM(DT14:DT29)</f>
        <v>27956.996360000001</v>
      </c>
      <c r="DU31" s="325">
        <f>DT31/DS31*100</f>
        <v>95.925375638108733</v>
      </c>
      <c r="DV31" s="327">
        <f>SUM(DV14:DV29)</f>
        <v>0</v>
      </c>
      <c r="DW31" s="327">
        <f>SUM(DW14:DW29)</f>
        <v>0</v>
      </c>
      <c r="DX31" s="325" t="e">
        <f>DW31/DV31*100</f>
        <v>#DIV/0!</v>
      </c>
      <c r="DY31" s="330">
        <f>SUM(DY14:DY29)</f>
        <v>73</v>
      </c>
      <c r="DZ31" s="325">
        <f>SUM(DZ14:DZ29)</f>
        <v>0</v>
      </c>
      <c r="EA31" s="325">
        <f>DZ31/DY31*100</f>
        <v>0</v>
      </c>
      <c r="EB31" s="325">
        <f>SUM(EB14:EB29)</f>
        <v>1093.0406399999999</v>
      </c>
      <c r="EC31" s="325">
        <f>SUM(EC14:EC29)</f>
        <v>950.54413999999997</v>
      </c>
      <c r="ED31" s="291">
        <f>EC31/EB31*100</f>
        <v>86.963293514868766</v>
      </c>
      <c r="EE31" s="325">
        <f>SUM(EE14:EE29)</f>
        <v>2546.1000000000004</v>
      </c>
      <c r="EF31" s="330">
        <f>SUM(EF14:EF29)</f>
        <v>2546.1000000000004</v>
      </c>
      <c r="EG31" s="327">
        <f t="shared" si="52"/>
        <v>100</v>
      </c>
      <c r="EH31" s="330">
        <f>SUM(EH14:EH29)</f>
        <v>767.46799999999996</v>
      </c>
      <c r="EI31" s="330">
        <f>SUM(EI14:EI29)</f>
        <v>747.69633999999996</v>
      </c>
      <c r="EJ31" s="291">
        <f t="shared" si="53"/>
        <v>97.423780535475089</v>
      </c>
      <c r="EK31" s="327">
        <f>SUM(EK14:EK29)</f>
        <v>64842.075519999991</v>
      </c>
      <c r="EL31" s="326">
        <f>SUM(EL14:EL29)</f>
        <v>62683.624669999997</v>
      </c>
      <c r="EM31" s="325">
        <f>EL31/EK31*100</f>
        <v>96.671218753116193</v>
      </c>
      <c r="EN31" s="327">
        <f>SUM(EN14:EN29)</f>
        <v>159005.45726999998</v>
      </c>
      <c r="EO31" s="326">
        <f>SUM(EO14:EO29)</f>
        <v>118896.2485</v>
      </c>
      <c r="EP31" s="325">
        <f>EO31/EN31*100</f>
        <v>74.774948320237627</v>
      </c>
      <c r="EQ31" s="326">
        <f>SUM(EQ14:EQ29)</f>
        <v>39192.355030000006</v>
      </c>
      <c r="ER31" s="326">
        <f>SUM(ER14:ER29)</f>
        <v>38076.346490000011</v>
      </c>
      <c r="ES31" s="325">
        <f>ER31/EQ31*100</f>
        <v>97.15248410271407</v>
      </c>
      <c r="ET31" s="326">
        <f>SUM(ET14:ET29)</f>
        <v>13</v>
      </c>
      <c r="EU31" s="326">
        <f>SUM(EU14:EU29)</f>
        <v>13</v>
      </c>
      <c r="EV31" s="325">
        <f>EU31/ET31*100</f>
        <v>100</v>
      </c>
      <c r="EW31" s="327">
        <f>SUM(EW14:EW29)</f>
        <v>210.98100000000005</v>
      </c>
      <c r="EX31" s="327">
        <f>SUM(EX14:EX29)</f>
        <v>206.47100000000006</v>
      </c>
      <c r="EY31" s="325">
        <f>EX31/EW31*100</f>
        <v>97.862366753404345</v>
      </c>
      <c r="EZ31" s="325">
        <f>SUM(EZ14:EZ29)</f>
        <v>0</v>
      </c>
      <c r="FA31" s="328">
        <f>SUM(FA14:FA29)</f>
        <v>0</v>
      </c>
      <c r="FB31" s="291" t="e">
        <f>FA31/EZ31*100</f>
        <v>#DIV/0!</v>
      </c>
      <c r="FC31" s="330">
        <f>SUM(FC14:FC29)</f>
        <v>-13728.079099999995</v>
      </c>
      <c r="FD31" s="325">
        <f>SUM(FD14:FD29)</f>
        <v>3292.4549899999911</v>
      </c>
      <c r="FE31" s="291">
        <f>FD31/FC31*100</f>
        <v>-23.983362610432454</v>
      </c>
    </row>
    <row r="32" spans="1:176" s="165" customFormat="1" ht="27.75" customHeight="1">
      <c r="C32" s="164">
        <v>283159.92469000001</v>
      </c>
      <c r="D32" s="164">
        <v>255369.48248999999</v>
      </c>
      <c r="E32" s="164"/>
      <c r="F32" s="164">
        <v>54196.909849999996</v>
      </c>
      <c r="G32" s="164">
        <v>64192.533089999997</v>
      </c>
      <c r="H32" s="164"/>
      <c r="I32" s="164"/>
      <c r="J32" s="164"/>
      <c r="K32" s="164"/>
      <c r="L32" s="164">
        <v>6695.4</v>
      </c>
      <c r="M32" s="164">
        <v>7710.6098499999998</v>
      </c>
      <c r="N32" s="164"/>
      <c r="O32" s="164"/>
      <c r="P32" s="164"/>
      <c r="Q32" s="164"/>
      <c r="R32" s="164">
        <v>4337.4410099999996</v>
      </c>
      <c r="S32" s="164">
        <v>6125.2751799999996</v>
      </c>
      <c r="T32" s="164"/>
      <c r="U32" s="164">
        <v>41.338000000000001</v>
      </c>
      <c r="V32" s="164">
        <v>33.08605</v>
      </c>
      <c r="W32" s="164"/>
      <c r="X32" s="164">
        <v>6438.7049999999999</v>
      </c>
      <c r="Y32" s="164">
        <v>6762.9955900000004</v>
      </c>
      <c r="Z32" s="164"/>
      <c r="AA32" s="164" t="e">
        <f>#REF!-AA31</f>
        <v>#REF!</v>
      </c>
      <c r="AB32" s="164">
        <v>-702.74677999999994</v>
      </c>
      <c r="AC32" s="164"/>
      <c r="AD32" s="164">
        <v>530</v>
      </c>
      <c r="AE32" s="164">
        <v>548.69536000000005</v>
      </c>
      <c r="AF32" s="164"/>
      <c r="AG32" s="164">
        <v>6780</v>
      </c>
      <c r="AH32" s="164">
        <v>6621.3053499999996</v>
      </c>
      <c r="AI32" s="164"/>
      <c r="AJ32" s="164">
        <v>15252.78858</v>
      </c>
      <c r="AK32" s="164">
        <v>15139.57627</v>
      </c>
      <c r="AL32" s="164"/>
      <c r="AM32" s="164">
        <v>97</v>
      </c>
      <c r="AN32" s="164">
        <v>66.78</v>
      </c>
      <c r="AO32" s="164"/>
      <c r="AP32" s="164" t="e">
        <f>#REF!-AP31</f>
        <v>#REF!</v>
      </c>
      <c r="AQ32" s="164">
        <v>3.65E-3</v>
      </c>
      <c r="AR32" s="164"/>
      <c r="AS32" s="164" t="e">
        <f>#REF!-AS31</f>
        <v>#REF!</v>
      </c>
      <c r="AT32" s="164" t="e">
        <f>#REF!-AT31</f>
        <v>#REF!</v>
      </c>
      <c r="AU32" s="164"/>
      <c r="AV32" s="164">
        <v>2352.01064</v>
      </c>
      <c r="AW32" s="164">
        <v>3175.8159999999998</v>
      </c>
      <c r="AX32" s="164"/>
      <c r="AY32" s="164">
        <v>238</v>
      </c>
      <c r="AZ32" s="164">
        <v>364.81839000000002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590</v>
      </c>
      <c r="BF32" s="164">
        <v>1238.6290300000001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>
        <v>2843.7265000000002</v>
      </c>
      <c r="BL32" s="164">
        <v>4120.4327000000003</v>
      </c>
      <c r="BM32" s="164"/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 t="e">
        <f>#REF!-BQ31</f>
        <v>#REF!</v>
      </c>
      <c r="BR32" s="164" t="e">
        <f>#REF!-BR31</f>
        <v>#REF!</v>
      </c>
      <c r="BS32" s="164" t="e">
        <f>#REF!-BS31</f>
        <v>#REF!</v>
      </c>
      <c r="BT32" s="164">
        <v>125.13601</v>
      </c>
      <c r="BU32" s="164">
        <v>624.01130999999998</v>
      </c>
      <c r="BV32" s="164"/>
      <c r="BW32" s="164">
        <v>7875.3641100000004</v>
      </c>
      <c r="BX32" s="164">
        <v>12363.24439</v>
      </c>
      <c r="BY32" s="164"/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 t="e">
        <f>#REF!-CC31</f>
        <v>#REF!</v>
      </c>
      <c r="CD32" s="164" t="e">
        <f>#REF!-CD31</f>
        <v>#REF!</v>
      </c>
      <c r="CE32" s="164" t="e">
        <f>#REF!-CE31</f>
        <v>#REF!</v>
      </c>
      <c r="CF32" s="164">
        <v>228963.01483999999</v>
      </c>
      <c r="CG32" s="164">
        <v>191176.94940000001</v>
      </c>
      <c r="CH32" s="164"/>
      <c r="CI32" s="164">
        <v>53257.1</v>
      </c>
      <c r="CJ32" s="164">
        <v>53257.1</v>
      </c>
      <c r="CK32" s="164"/>
      <c r="CL32" s="164">
        <v>0</v>
      </c>
      <c r="CM32" s="164">
        <v>0</v>
      </c>
      <c r="CN32" s="164"/>
      <c r="CO32" s="164">
        <v>142600.58228999999</v>
      </c>
      <c r="CP32" s="164">
        <v>108006.6292</v>
      </c>
      <c r="CQ32" s="164"/>
      <c r="CR32" s="164">
        <v>2696.2</v>
      </c>
      <c r="CS32" s="164">
        <v>2696.1723000000002</v>
      </c>
      <c r="CT32" s="164"/>
      <c r="CU32" s="164">
        <v>30409.132549999998</v>
      </c>
      <c r="CV32" s="164">
        <v>27217.047900000001</v>
      </c>
      <c r="CW32" s="164"/>
      <c r="CX32" s="164">
        <v>0</v>
      </c>
      <c r="CY32" s="164">
        <v>0</v>
      </c>
      <c r="CZ32" s="164"/>
      <c r="DA32" s="164" t="e">
        <f>#REF!-DA31</f>
        <v>#REF!</v>
      </c>
      <c r="DB32" s="164">
        <v>0</v>
      </c>
      <c r="DC32" s="164"/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 t="e">
        <f>#REF!-DI31</f>
        <v>#REF!</v>
      </c>
      <c r="DJ32" s="164" t="e">
        <f>#REF!-DJ31</f>
        <v>#REF!</v>
      </c>
      <c r="DK32" s="164" t="e">
        <f>#REF!-DK31</f>
        <v>#REF!</v>
      </c>
      <c r="DL32" s="164"/>
      <c r="DM32" s="164">
        <v>296888.00378999999</v>
      </c>
      <c r="DN32" s="164">
        <v>252077.0275</v>
      </c>
      <c r="DO32" s="164"/>
      <c r="DP32" s="164">
        <v>30310.56697</v>
      </c>
      <c r="DQ32" s="164">
        <v>28907.540499999999</v>
      </c>
      <c r="DR32" s="164"/>
      <c r="DS32" s="164">
        <v>29144.526330000001</v>
      </c>
      <c r="DT32" s="164">
        <v>27956.996360000001</v>
      </c>
      <c r="DU32" s="164"/>
      <c r="DV32" s="164"/>
      <c r="DW32" s="164">
        <v>0</v>
      </c>
      <c r="DX32" s="164"/>
      <c r="DY32" s="164">
        <v>73000</v>
      </c>
      <c r="DZ32" s="164">
        <v>0</v>
      </c>
      <c r="EA32" s="164"/>
      <c r="EB32" s="164">
        <v>1093.0406399999999</v>
      </c>
      <c r="EC32" s="164">
        <v>950.54413999999997</v>
      </c>
      <c r="ED32" s="164"/>
      <c r="EE32" s="164">
        <v>2546.1</v>
      </c>
      <c r="EF32" s="164">
        <v>2546.1</v>
      </c>
      <c r="EG32" s="164"/>
      <c r="EH32" s="164">
        <v>767.46799999999996</v>
      </c>
      <c r="EI32" s="164">
        <v>747.69633999999996</v>
      </c>
      <c r="EJ32" s="164"/>
      <c r="EK32" s="164">
        <v>64842.075519999999</v>
      </c>
      <c r="EL32" s="164">
        <v>62683.624669999997</v>
      </c>
      <c r="EM32" s="164"/>
      <c r="EN32" s="164">
        <v>159005.45727000001</v>
      </c>
      <c r="EO32" s="164">
        <v>118896.2485</v>
      </c>
      <c r="EP32" s="164"/>
      <c r="EQ32" s="164">
        <v>39192.355029999999</v>
      </c>
      <c r="ER32" s="164">
        <v>38076.346490000004</v>
      </c>
      <c r="ES32" s="164"/>
      <c r="ET32" s="164">
        <v>13</v>
      </c>
      <c r="EU32" s="164">
        <v>13</v>
      </c>
      <c r="EV32" s="164"/>
      <c r="EW32" s="164">
        <v>210.98099999999999</v>
      </c>
      <c r="EX32" s="164">
        <v>206.471</v>
      </c>
      <c r="EY32" s="164"/>
      <c r="EZ32" s="164" t="e">
        <f>#REF!-EZ31</f>
        <v>#REF!</v>
      </c>
      <c r="FA32" s="164" t="e">
        <f>#REF!-FA31</f>
        <v>#REF!</v>
      </c>
      <c r="FB32" s="164"/>
      <c r="FC32" s="164">
        <v>-13728.079100000001</v>
      </c>
      <c r="FD32" s="164">
        <v>3292.4549900000002</v>
      </c>
    </row>
    <row r="33" spans="3:161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/>
      <c r="P33" s="164"/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 t="e">
        <f>AA32-AA31</f>
        <v>#REF!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>
        <f>AM32-AM31</f>
        <v>0</v>
      </c>
      <c r="AN33" s="164">
        <f>AN32-AN31</f>
        <v>0</v>
      </c>
      <c r="AO33" s="164"/>
      <c r="AP33" s="164" t="e">
        <f t="shared" ref="AP33:AW33" si="61">AP32-AP31</f>
        <v>#REF!</v>
      </c>
      <c r="AQ33" s="164">
        <f t="shared" si="61"/>
        <v>0</v>
      </c>
      <c r="AR33" s="164" t="e">
        <f t="shared" si="61"/>
        <v>#DIV/0!</v>
      </c>
      <c r="AS33" s="164" t="e">
        <f t="shared" si="61"/>
        <v>#REF!</v>
      </c>
      <c r="AT33" s="164" t="e">
        <f t="shared" si="61"/>
        <v>#REF!</v>
      </c>
      <c r="AU33" s="164" t="e">
        <f t="shared" si="61"/>
        <v>#DIV/0!</v>
      </c>
      <c r="AV33" s="164">
        <f t="shared" si="61"/>
        <v>0</v>
      </c>
      <c r="AW33" s="164">
        <f t="shared" si="61"/>
        <v>0</v>
      </c>
      <c r="AX33" s="164"/>
      <c r="AY33" s="164">
        <f>AY32-AY31</f>
        <v>0</v>
      </c>
      <c r="AZ33" s="164">
        <f>AZ32-AZ31</f>
        <v>-7.4999999998226485E-4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>BH32-BH31</f>
        <v>#REF!</v>
      </c>
      <c r="BI33" s="164" t="e">
        <f>BI32-BI31</f>
        <v>#REF!</v>
      </c>
      <c r="BJ33" s="164" t="e">
        <f>BJ32-BJ31</f>
        <v>#REF!</v>
      </c>
      <c r="BK33" s="164">
        <f>BK32-BK31</f>
        <v>0</v>
      </c>
      <c r="BL33" s="164">
        <f>BL32-BL31</f>
        <v>0</v>
      </c>
      <c r="BM33" s="164"/>
      <c r="BN33" s="164" t="e">
        <f t="shared" ref="BN33:BU33" si="62">BN32-BN31</f>
        <v>#REF!</v>
      </c>
      <c r="BO33" s="164" t="e">
        <f t="shared" si="62"/>
        <v>#REF!</v>
      </c>
      <c r="BP33" s="164" t="e">
        <f t="shared" si="62"/>
        <v>#REF!</v>
      </c>
      <c r="BQ33" s="164" t="e">
        <f t="shared" si="62"/>
        <v>#REF!</v>
      </c>
      <c r="BR33" s="164" t="e">
        <f t="shared" si="62"/>
        <v>#REF!</v>
      </c>
      <c r="BS33" s="164" t="e">
        <f t="shared" si="62"/>
        <v>#REF!</v>
      </c>
      <c r="BT33" s="164">
        <f t="shared" si="62"/>
        <v>0</v>
      </c>
      <c r="BU33" s="164">
        <f t="shared" si="62"/>
        <v>0</v>
      </c>
      <c r="BV33" s="164"/>
      <c r="BW33" s="164">
        <f>BW32-BW31</f>
        <v>0</v>
      </c>
      <c r="BX33" s="164">
        <f>BX32-BX31</f>
        <v>0</v>
      </c>
      <c r="BY33" s="164"/>
      <c r="BZ33" s="164" t="e">
        <f t="shared" ref="BZ33:CF33" si="63">BZ32-BZ31</f>
        <v>#REF!</v>
      </c>
      <c r="CA33" s="164" t="e">
        <f t="shared" si="63"/>
        <v>#REF!</v>
      </c>
      <c r="CB33" s="164" t="e">
        <f t="shared" si="63"/>
        <v>#REF!</v>
      </c>
      <c r="CC33" s="164" t="e">
        <f t="shared" si="63"/>
        <v>#REF!</v>
      </c>
      <c r="CD33" s="164" t="e">
        <f t="shared" si="63"/>
        <v>#REF!</v>
      </c>
      <c r="CE33" s="164" t="e">
        <f t="shared" si="63"/>
        <v>#REF!</v>
      </c>
      <c r="CF33" s="164">
        <f t="shared" si="63"/>
        <v>0</v>
      </c>
      <c r="CG33" s="164">
        <f>SUM(CG32-CG31)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>
        <f>CX32-CX31</f>
        <v>0</v>
      </c>
      <c r="CY33" s="164">
        <f>CY32-CY31</f>
        <v>0</v>
      </c>
      <c r="CZ33" s="164"/>
      <c r="DA33" s="164" t="e">
        <f>DA32-DA31</f>
        <v>#REF!</v>
      </c>
      <c r="DB33" s="164">
        <f>DB32-DB31</f>
        <v>0</v>
      </c>
      <c r="DC33" s="164"/>
      <c r="DD33" s="164" t="e">
        <f t="shared" ref="DD33:DN33" si="64">DD32-DD31</f>
        <v>#REF!</v>
      </c>
      <c r="DE33" s="164" t="e">
        <f t="shared" si="64"/>
        <v>#REF!</v>
      </c>
      <c r="DF33" s="164" t="e">
        <f t="shared" si="64"/>
        <v>#REF!</v>
      </c>
      <c r="DG33" s="164" t="e">
        <f t="shared" si="64"/>
        <v>#REF!</v>
      </c>
      <c r="DH33" s="164" t="e">
        <f t="shared" si="64"/>
        <v>#REF!</v>
      </c>
      <c r="DI33" s="164" t="e">
        <f t="shared" si="64"/>
        <v>#REF!</v>
      </c>
      <c r="DJ33" s="164" t="e">
        <f t="shared" si="64"/>
        <v>#REF!</v>
      </c>
      <c r="DK33" s="164" t="e">
        <f t="shared" si="64"/>
        <v>#REF!</v>
      </c>
      <c r="DL33" s="164">
        <f t="shared" si="64"/>
        <v>0</v>
      </c>
      <c r="DM33" s="164">
        <f t="shared" si="64"/>
        <v>0</v>
      </c>
      <c r="DN33" s="164">
        <f t="shared" si="64"/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72927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>
        <f>EW32-EW31</f>
        <v>0</v>
      </c>
      <c r="EX33" s="164">
        <f>EX32-EX31</f>
        <v>0</v>
      </c>
      <c r="EY33" s="164"/>
      <c r="EZ33" s="164" t="e">
        <f>EZ32-EZ31</f>
        <v>#REF!</v>
      </c>
      <c r="FA33" s="164" t="e">
        <f>FA32-FA31</f>
        <v>#REF!</v>
      </c>
      <c r="FB33" s="164"/>
      <c r="FC33" s="164">
        <f>FC32-FC31</f>
        <v>0</v>
      </c>
      <c r="FD33" s="164">
        <f>FD32-FD31</f>
        <v>9.0949470177292824E-12</v>
      </c>
      <c r="FE33" s="166"/>
    </row>
  </sheetData>
  <customSheetViews>
    <customSheetView guid="{61528DAC-5C4C-48F4-ADE2-8A724B05A086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"/>
    </customSheetView>
    <customSheetView guid="{A486C6EE-08B2-475E-8DA1-C3C3163412A9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2"/>
    </customSheetView>
    <customSheetView guid="{F1E84C44-1ACD-474A-BDE0-C7088DB6C590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3"/>
    </customSheetView>
    <customSheetView guid="{F85EE840-0C31-454A-8951-832C2E9E0600}" scale="70" showPageBreaks="1" printArea="1" hiddenColumns="1" state="hidden" view="pageBreakPreview" topLeftCell="A4">
      <selection activeCell="D73" sqref="D73"/>
      <colBreaks count="5" manualBreakCount="5">
        <brk id="23" max="30" man="1"/>
        <brk id="44" max="30" man="1"/>
        <brk id="86" max="30" man="1"/>
        <brk id="116" max="30" man="1"/>
        <brk id="140" max="30" man="1"/>
      </colBreaks>
      <pageMargins left="0.70866141732283472" right="0.19685039370078741" top="0.28000000000000003" bottom="0.32" header="0.31496062992125984" footer="0.31496062992125984"/>
      <pageSetup paperSize="9" scale="39" fitToWidth="11" orientation="landscape" r:id="rId4"/>
    </customSheetView>
    <customSheetView guid="{3DCB9AAA-F09C-4EA6-B992-F93E466D374A}" scale="75" showPageBreaks="1" printArea="1" hiddenColumns="1" view="pageBreakPreview" topLeftCell="A10">
      <pane xSplit="2" ySplit="4" topLeftCell="DM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1718F1EE-9F48-4DBE-9531-3B70F9C4A5DD}" scale="75" showPageBreaks="1" printArea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B30CE22D-C12F-4E12-8BB9-3AAE0A6991CC}" scale="75" showPageBreaks="1" fitToPage="1" printArea="1" hiddenColumns="1" view="pageBreakPreview" topLeftCell="BL4">
      <selection activeCell="CJ14" sqref="CJ14:CJ29"/>
      <colBreaks count="6" manualBreakCount="6">
        <brk id="23" max="30" man="1"/>
        <brk id="41" max="30" man="1"/>
        <brk id="65" max="29" man="1"/>
        <brk id="98" max="30" man="1"/>
        <brk id="122" max="30" man="1"/>
        <brk id="140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7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9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10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1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2"/>
    </customSheetView>
    <customSheetView guid="{5C539BE6-C8E0-453F-AB5E-9E58094195EA}" scale="70" showPageBreaks="1" printArea="1" hiddenColumns="1" view="pageBreakPreview" topLeftCell="AT7">
      <selection activeCell="BR24" sqref="BR24"/>
      <pageMargins left="0.70866141732283472" right="0.19685039370078741" top="0.28000000000000003" bottom="0.32" header="0.31496062992125984" footer="0.31496062992125984"/>
      <pageSetup paperSize="9" scale="10" fitToWidth="11" orientation="landscape" r:id="rId13"/>
    </customSheetView>
  </customSheetViews>
  <mergeCells count="69">
    <mergeCell ref="DJ8:DL8"/>
    <mergeCell ref="BE9:BG11"/>
    <mergeCell ref="BB9:BD11"/>
    <mergeCell ref="AY9:BA11"/>
    <mergeCell ref="BH9:BJ11"/>
    <mergeCell ref="CO9:CQ11"/>
    <mergeCell ref="CR9:CT11"/>
    <mergeCell ref="CX9:CZ11"/>
    <mergeCell ref="CC9:CE11"/>
    <mergeCell ref="DG9:DI11"/>
    <mergeCell ref="CF8:CH11"/>
    <mergeCell ref="CI8:CT8"/>
    <mergeCell ref="DD8:DF11"/>
    <mergeCell ref="CI9:CK11"/>
    <mergeCell ref="CL9:CN11"/>
    <mergeCell ref="DG8:DI8"/>
    <mergeCell ref="AJ1:AL1"/>
    <mergeCell ref="L8:BD8"/>
    <mergeCell ref="AJ2:AL2"/>
    <mergeCell ref="AJ3:AL3"/>
    <mergeCell ref="AD1:AF1"/>
    <mergeCell ref="B5:AF5"/>
    <mergeCell ref="L6:AD6"/>
    <mergeCell ref="B4:AF4"/>
    <mergeCell ref="B7:B12"/>
    <mergeCell ref="C7:E11"/>
    <mergeCell ref="U9:W11"/>
    <mergeCell ref="AA9:AC11"/>
    <mergeCell ref="AD9:AF11"/>
    <mergeCell ref="F8:H11"/>
    <mergeCell ref="AD3:AF3"/>
    <mergeCell ref="L9:N11"/>
    <mergeCell ref="A31:B31"/>
    <mergeCell ref="BZ9:CB11"/>
    <mergeCell ref="BT9:BV11"/>
    <mergeCell ref="BK9:BM11"/>
    <mergeCell ref="BN9:BP11"/>
    <mergeCell ref="AG9:AI11"/>
    <mergeCell ref="A7:A12"/>
    <mergeCell ref="R9:T11"/>
    <mergeCell ref="X9:Z11"/>
    <mergeCell ref="BW9:BY11"/>
    <mergeCell ref="AS9:AU11"/>
    <mergeCell ref="AJ9:AL11"/>
    <mergeCell ref="AM9:AO11"/>
    <mergeCell ref="BQ9:BS11"/>
    <mergeCell ref="AP9:AR11"/>
    <mergeCell ref="AV9:AX11"/>
    <mergeCell ref="FC7:FE11"/>
    <mergeCell ref="DP8:FB8"/>
    <mergeCell ref="DM7:DO11"/>
    <mergeCell ref="DV11:DX11"/>
    <mergeCell ref="DY11:EA11"/>
    <mergeCell ref="EZ9:FB11"/>
    <mergeCell ref="EK9:EM11"/>
    <mergeCell ref="DP7:FB7"/>
    <mergeCell ref="DP9:DR11"/>
    <mergeCell ref="EW9:EY11"/>
    <mergeCell ref="ET9:EV11"/>
    <mergeCell ref="DS9:ED9"/>
    <mergeCell ref="EE9:EG11"/>
    <mergeCell ref="EN9:EP11"/>
    <mergeCell ref="EQ9:ES11"/>
    <mergeCell ref="CU9:CW11"/>
    <mergeCell ref="DA9:DC11"/>
    <mergeCell ref="DJ9:DL11"/>
    <mergeCell ref="EH9:EJ11"/>
    <mergeCell ref="DS11:DU11"/>
    <mergeCell ref="EB11:ED11"/>
  </mergeCells>
  <phoneticPr fontId="14" type="noConversion"/>
  <pageMargins left="0.70866141732283472" right="0.19685039370078741" top="0.27559055118110237" bottom="0.31496062992125984" header="0.31496062992125984" footer="0.31496062992125984"/>
  <pageSetup paperSize="9" scale="37" fitToWidth="5" orientation="landscape" r:id="rId14"/>
  <colBreaks count="4" manualBreakCount="4">
    <brk id="29" max="30" man="1"/>
    <brk id="62" max="30" man="1"/>
    <brk id="101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zoomScale="70" zoomScaleNormal="100" zoomScaleSheetLayoutView="70" workbookViewId="0">
      <selection activeCell="F37" sqref="F3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627" t="s">
        <v>410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47.2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1590.7845299999999</v>
      </c>
      <c r="E4" s="5">
        <f>SUM(D4/C4*100)</f>
        <v>104.24674831911295</v>
      </c>
      <c r="F4" s="5">
        <f>SUM(D4-C4)</f>
        <v>64.804529999999886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91.677109999999999</v>
      </c>
      <c r="E5" s="5">
        <f t="shared" ref="E5:E49" si="0">SUM(D5/C5*100)</f>
        <v>76.397591666666671</v>
      </c>
      <c r="F5" s="5">
        <f t="shared" ref="F5:F49" si="1">SUM(D5-C5)</f>
        <v>-28.322890000000001</v>
      </c>
    </row>
    <row r="6" spans="1:6">
      <c r="A6" s="7">
        <v>1010200001</v>
      </c>
      <c r="B6" s="8" t="s">
        <v>220</v>
      </c>
      <c r="C6" s="9">
        <v>120</v>
      </c>
      <c r="D6" s="10">
        <v>91.677109999999999</v>
      </c>
      <c r="E6" s="9">
        <f t="shared" ref="E6:E11" si="2">SUM(D6/C6*100)</f>
        <v>76.397591666666671</v>
      </c>
      <c r="F6" s="9">
        <f t="shared" si="1"/>
        <v>-28.322890000000001</v>
      </c>
    </row>
    <row r="7" spans="1:6" ht="31.5">
      <c r="A7" s="3">
        <v>1030000000</v>
      </c>
      <c r="B7" s="13" t="s">
        <v>259</v>
      </c>
      <c r="C7" s="5">
        <f>C8+C10+C9</f>
        <v>547.98</v>
      </c>
      <c r="D7" s="5">
        <f>D8+D10+D9+D11</f>
        <v>647.85488999999995</v>
      </c>
      <c r="E7" s="5">
        <f t="shared" si="2"/>
        <v>118.22601007336033</v>
      </c>
      <c r="F7" s="5">
        <f t="shared" si="1"/>
        <v>99.874889999999937</v>
      </c>
    </row>
    <row r="8" spans="1:6">
      <c r="A8" s="7">
        <v>1030223001</v>
      </c>
      <c r="B8" s="8" t="s">
        <v>261</v>
      </c>
      <c r="C8" s="9">
        <v>204.39599999999999</v>
      </c>
      <c r="D8" s="10">
        <v>324.77418999999998</v>
      </c>
      <c r="E8" s="9">
        <f t="shared" si="2"/>
        <v>158.8945918706824</v>
      </c>
      <c r="F8" s="9">
        <f t="shared" si="1"/>
        <v>120.37818999999999</v>
      </c>
    </row>
    <row r="9" spans="1:6">
      <c r="A9" s="7">
        <v>1030224001</v>
      </c>
      <c r="B9" s="8" t="s">
        <v>267</v>
      </c>
      <c r="C9" s="9">
        <v>2.1920000000000002</v>
      </c>
      <c r="D9" s="10">
        <v>1.75431</v>
      </c>
      <c r="E9" s="9">
        <f t="shared" si="2"/>
        <v>80.0323905109489</v>
      </c>
      <c r="F9" s="9">
        <f t="shared" si="1"/>
        <v>-0.43769000000000013</v>
      </c>
    </row>
    <row r="10" spans="1:6">
      <c r="A10" s="7">
        <v>1030225001</v>
      </c>
      <c r="B10" s="8" t="s">
        <v>260</v>
      </c>
      <c r="C10" s="9">
        <v>341.392</v>
      </c>
      <c r="D10" s="10">
        <v>358.58740999999998</v>
      </c>
      <c r="E10" s="9">
        <f t="shared" si="2"/>
        <v>105.03685206448891</v>
      </c>
      <c r="F10" s="9">
        <f t="shared" si="1"/>
        <v>17.195409999999981</v>
      </c>
    </row>
    <row r="11" spans="1:6">
      <c r="A11" s="7">
        <v>1030226001</v>
      </c>
      <c r="B11" s="8" t="s">
        <v>269</v>
      </c>
      <c r="C11" s="9">
        <v>0</v>
      </c>
      <c r="D11" s="10">
        <v>-37.261020000000002</v>
      </c>
      <c r="E11" s="9" t="e">
        <f t="shared" si="2"/>
        <v>#DIV/0!</v>
      </c>
      <c r="F11" s="9">
        <f t="shared" si="1"/>
        <v>-37.261020000000002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0.26638000000000001</v>
      </c>
      <c r="E12" s="5">
        <f t="shared" si="0"/>
        <v>2.6638000000000002</v>
      </c>
      <c r="F12" s="5">
        <f t="shared" si="1"/>
        <v>-9.7336200000000002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0.26638000000000001</v>
      </c>
      <c r="E13" s="9">
        <f t="shared" si="0"/>
        <v>2.6638000000000002</v>
      </c>
      <c r="F13" s="9">
        <f t="shared" si="1"/>
        <v>-9.7336200000000002</v>
      </c>
    </row>
    <row r="14" spans="1:6" s="6" customFormat="1" ht="15.75" customHeight="1">
      <c r="A14" s="3">
        <v>1060000000</v>
      </c>
      <c r="B14" s="4" t="s">
        <v>129</v>
      </c>
      <c r="C14" s="5">
        <f>C15+C16</f>
        <v>843</v>
      </c>
      <c r="D14" s="5">
        <f>D15+D16</f>
        <v>849.89615000000003</v>
      </c>
      <c r="E14" s="5">
        <f t="shared" si="0"/>
        <v>100.81804863582444</v>
      </c>
      <c r="F14" s="5">
        <f t="shared" si="1"/>
        <v>6.8961500000000342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296.83465000000001</v>
      </c>
      <c r="E15" s="9">
        <f t="shared" si="0"/>
        <v>91.899272445820429</v>
      </c>
      <c r="F15" s="9">
        <f>SUM(D15-C15)</f>
        <v>-26.165349999999989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553.06150000000002</v>
      </c>
      <c r="E16" s="9">
        <f t="shared" si="0"/>
        <v>106.35798076923078</v>
      </c>
      <c r="F16" s="9">
        <f t="shared" si="1"/>
        <v>33.061500000000024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1.0900000000000001</v>
      </c>
      <c r="E17" s="5">
        <f t="shared" si="0"/>
        <v>21.800000000000004</v>
      </c>
      <c r="F17" s="5">
        <f t="shared" si="1"/>
        <v>-3.91</v>
      </c>
    </row>
    <row r="18" spans="1:6">
      <c r="A18" s="7">
        <v>1080400001</v>
      </c>
      <c r="B18" s="8" t="s">
        <v>219</v>
      </c>
      <c r="C18" s="9">
        <v>5</v>
      </c>
      <c r="D18" s="10">
        <v>1.0900000000000001</v>
      </c>
      <c r="E18" s="9">
        <f t="shared" si="0"/>
        <v>21.800000000000004</v>
      </c>
      <c r="F18" s="9">
        <f t="shared" si="1"/>
        <v>-3.91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C26+C29+C31+C34+C36</f>
        <v>1145.8462399999999</v>
      </c>
      <c r="D25" s="5">
        <f>D26+D29+D31+D34+D36</f>
        <v>1755.0107799999998</v>
      </c>
      <c r="E25" s="5">
        <f t="shared" si="0"/>
        <v>153.16285193727214</v>
      </c>
      <c r="F25" s="5">
        <f t="shared" si="1"/>
        <v>609.16453999999999</v>
      </c>
    </row>
    <row r="26" spans="1:6" s="6" customFormat="1" ht="32.25" customHeight="1">
      <c r="A26" s="3">
        <v>1110000000</v>
      </c>
      <c r="B26" s="13" t="s">
        <v>122</v>
      </c>
      <c r="C26" s="5">
        <f>C27+C28</f>
        <v>320</v>
      </c>
      <c r="D26" s="5">
        <f>D27</f>
        <v>487.66397999999998</v>
      </c>
      <c r="E26" s="5">
        <f t="shared" si="0"/>
        <v>152.39499375</v>
      </c>
      <c r="F26" s="5">
        <f t="shared" si="1"/>
        <v>167.66397999999998</v>
      </c>
    </row>
    <row r="27" spans="1:6" ht="15" customHeight="1">
      <c r="A27" s="16">
        <v>1110502510</v>
      </c>
      <c r="B27" s="17" t="s">
        <v>217</v>
      </c>
      <c r="C27" s="12">
        <v>320</v>
      </c>
      <c r="D27" s="10">
        <v>487.66397999999998</v>
      </c>
      <c r="E27" s="5">
        <f t="shared" si="0"/>
        <v>152.39499375</v>
      </c>
      <c r="F27" s="9">
        <f t="shared" si="1"/>
        <v>167.66397999999998</v>
      </c>
    </row>
    <row r="28" spans="1:6" ht="19.5" hidden="1" customHeight="1">
      <c r="A28" s="7">
        <v>1110503505</v>
      </c>
      <c r="B28" s="11" t="s">
        <v>216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124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125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214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236</v>
      </c>
      <c r="C34" s="5">
        <f>C35</f>
        <v>0</v>
      </c>
      <c r="D34" s="5">
        <f>SUM(D35)</f>
        <v>41.4968</v>
      </c>
      <c r="E34" s="5" t="e">
        <f t="shared" si="0"/>
        <v>#DIV/0!</v>
      </c>
      <c r="F34" s="5">
        <f t="shared" si="1"/>
        <v>41.4968</v>
      </c>
    </row>
    <row r="35" spans="1:8" ht="36.75" customHeight="1">
      <c r="A35" s="7">
        <v>1160701010</v>
      </c>
      <c r="B35" s="8" t="s">
        <v>404</v>
      </c>
      <c r="C35" s="9">
        <v>0</v>
      </c>
      <c r="D35" s="9">
        <v>41.4968</v>
      </c>
      <c r="E35" s="9" t="e">
        <f t="shared" si="0"/>
        <v>#DIV/0!</v>
      </c>
      <c r="F35" s="9">
        <f t="shared" si="1"/>
        <v>41.4968</v>
      </c>
    </row>
    <row r="36" spans="1:8" ht="18.75" customHeight="1">
      <c r="A36" s="3">
        <v>1170000000</v>
      </c>
      <c r="B36" s="4" t="s">
        <v>212</v>
      </c>
      <c r="C36" s="5">
        <f>SUM(C37)</f>
        <v>825.84623999999997</v>
      </c>
      <c r="D36" s="5">
        <f>SUM(D37)</f>
        <v>1225.8499999999999</v>
      </c>
      <c r="E36" s="9"/>
      <c r="F36" s="9"/>
    </row>
    <row r="37" spans="1:8" ht="27" customHeight="1">
      <c r="A37" s="7">
        <v>1171503010</v>
      </c>
      <c r="B37" s="11" t="s">
        <v>406</v>
      </c>
      <c r="C37" s="9">
        <v>825.84623999999997</v>
      </c>
      <c r="D37" s="10">
        <v>1225.8499999999999</v>
      </c>
      <c r="E37" s="9">
        <f t="shared" si="0"/>
        <v>148.43562162370563</v>
      </c>
      <c r="F37" s="9">
        <f t="shared" si="1"/>
        <v>400.00375999999994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2671.8262399999999</v>
      </c>
      <c r="D38" s="125">
        <f>D4+D25</f>
        <v>3345.7953099999995</v>
      </c>
      <c r="E38" s="5">
        <f t="shared" si="0"/>
        <v>125.22503372075573</v>
      </c>
      <c r="F38" s="5">
        <f t="shared" si="1"/>
        <v>673.96906999999965</v>
      </c>
    </row>
    <row r="39" spans="1:8" s="6" customFormat="1">
      <c r="A39" s="3">
        <v>2000000000</v>
      </c>
      <c r="B39" s="4" t="s">
        <v>17</v>
      </c>
      <c r="C39" s="5">
        <f>C40+C42+C43+C45+C46+C47+C41</f>
        <v>11975.50999</v>
      </c>
      <c r="D39" s="5">
        <f>D40+D42+D43+D45+D46+D47+D41</f>
        <v>11244.602559999999</v>
      </c>
      <c r="E39" s="5">
        <f t="shared" si="0"/>
        <v>93.896648822385558</v>
      </c>
      <c r="F39" s="5">
        <f t="shared" si="1"/>
        <v>-730.90743000000111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3">
        <v>2129.1</v>
      </c>
      <c r="E40" s="9">
        <f t="shared" si="0"/>
        <v>100</v>
      </c>
      <c r="F40" s="9">
        <f t="shared" si="1"/>
        <v>0</v>
      </c>
    </row>
    <row r="41" spans="1:8" ht="15.75" hidden="1" customHeight="1">
      <c r="A41" s="16">
        <v>2021500200</v>
      </c>
      <c r="B41" s="17" t="s">
        <v>223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6333.7063699999999</v>
      </c>
      <c r="D42" s="10">
        <v>5921.0460800000001</v>
      </c>
      <c r="E42" s="9">
        <f t="shared" si="0"/>
        <v>93.484694965421966</v>
      </c>
      <c r="F42" s="9">
        <f t="shared" si="1"/>
        <v>-412.6602899999998</v>
      </c>
    </row>
    <row r="43" spans="1:8" ht="13.5" customHeight="1">
      <c r="A43" s="16">
        <v>2023000000</v>
      </c>
      <c r="B43" s="17" t="s">
        <v>20</v>
      </c>
      <c r="C43" s="12">
        <v>44.321980000000003</v>
      </c>
      <c r="D43" s="180">
        <v>44.321980000000003</v>
      </c>
      <c r="E43" s="9">
        <f t="shared" si="0"/>
        <v>100</v>
      </c>
      <c r="F43" s="9">
        <f t="shared" si="1"/>
        <v>0</v>
      </c>
    </row>
    <row r="44" spans="1:8" hidden="1">
      <c r="A44" s="16">
        <v>2070503010</v>
      </c>
      <c r="B44" s="17" t="s">
        <v>252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3468.3816400000001</v>
      </c>
      <c r="D45" s="181">
        <v>3150.1345000000001</v>
      </c>
      <c r="E45" s="9">
        <f t="shared" si="0"/>
        <v>90.824333276080893</v>
      </c>
      <c r="F45" s="9">
        <f t="shared" si="1"/>
        <v>-318.24713999999994</v>
      </c>
    </row>
    <row r="46" spans="1:8" ht="18" customHeight="1">
      <c r="A46" s="16">
        <v>2070500000</v>
      </c>
      <c r="B46" s="18" t="s">
        <v>276</v>
      </c>
      <c r="C46" s="12"/>
      <c r="D46" s="181"/>
      <c r="E46" s="9" t="e">
        <f>SUM(D46/C46*100)</f>
        <v>#DIV/0!</v>
      </c>
      <c r="F46" s="9">
        <f t="shared" si="1"/>
        <v>0</v>
      </c>
      <c r="G46" s="237"/>
      <c r="H46" s="237"/>
    </row>
    <row r="47" spans="1:8" ht="15.75" hidden="1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370">
        <f>SUM(C38,C39,C48)</f>
        <v>14647.336230000001</v>
      </c>
      <c r="D49" s="371">
        <f>D38+D39</f>
        <v>14590.397869999999</v>
      </c>
      <c r="E49" s="5">
        <f t="shared" si="0"/>
        <v>99.611271571117598</v>
      </c>
      <c r="F49" s="5">
        <f t="shared" si="1"/>
        <v>-56.938360000001921</v>
      </c>
      <c r="G49" s="193"/>
      <c r="H49" s="193"/>
    </row>
    <row r="50" spans="1:8" s="6" customFormat="1">
      <c r="A50" s="3"/>
      <c r="B50" s="21" t="s">
        <v>299</v>
      </c>
      <c r="C50" s="240">
        <f>C49-C96</f>
        <v>-378.59134999999696</v>
      </c>
      <c r="D50" s="240">
        <f>D49-D96</f>
        <v>656.86254000000008</v>
      </c>
      <c r="E50" s="22"/>
      <c r="F50" s="22"/>
    </row>
    <row r="51" spans="1:8" ht="8.25" customHeight="1">
      <c r="A51" s="23"/>
      <c r="B51" s="24"/>
      <c r="C51" s="208"/>
      <c r="D51" s="208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394</v>
      </c>
      <c r="D52" s="399" t="s">
        <v>409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1586.1167099999998</v>
      </c>
      <c r="D54" s="32">
        <f>D55+D56+D57+D58+D59+D61+D60</f>
        <v>1449.2165100000002</v>
      </c>
      <c r="E54" s="34">
        <f>SUM(D54/C54*100)</f>
        <v>91.368844478033424</v>
      </c>
      <c r="F54" s="34">
        <f>SUM(D54-C54)</f>
        <v>-136.90019999999959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1492.4967099999999</v>
      </c>
      <c r="D56" s="37">
        <v>1365.5965100000001</v>
      </c>
      <c r="E56" s="38">
        <f t="shared" ref="E56:E96" si="3">SUM(D56/C56*100)</f>
        <v>91.497455294223073</v>
      </c>
      <c r="F56" s="38">
        <f t="shared" ref="F56:F96" si="4">SUM(D56-C56)</f>
        <v>-126.90019999999981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5</v>
      </c>
      <c r="D60" s="40">
        <v>0</v>
      </c>
      <c r="E60" s="38">
        <f t="shared" si="3"/>
        <v>0</v>
      </c>
      <c r="F60" s="38">
        <f t="shared" si="4"/>
        <v>-5</v>
      </c>
    </row>
    <row r="61" spans="1:8" ht="15.75" customHeight="1">
      <c r="A61" s="35" t="s">
        <v>41</v>
      </c>
      <c r="B61" s="39" t="s">
        <v>42</v>
      </c>
      <c r="C61" s="37">
        <v>88.62</v>
      </c>
      <c r="D61" s="37">
        <v>83.62</v>
      </c>
      <c r="E61" s="38">
        <f t="shared" si="3"/>
        <v>94.357932746558333</v>
      </c>
      <c r="F61" s="38">
        <f t="shared" si="4"/>
        <v>-5</v>
      </c>
    </row>
    <row r="62" spans="1:8" s="6" customFormat="1">
      <c r="A62" s="41" t="s">
        <v>43</v>
      </c>
      <c r="B62" s="42" t="s">
        <v>44</v>
      </c>
      <c r="C62" s="32">
        <f>C63</f>
        <v>44.321980000000003</v>
      </c>
      <c r="D62" s="32">
        <f>D63</f>
        <v>44.321980000000003</v>
      </c>
      <c r="E62" s="34">
        <f t="shared" si="3"/>
        <v>100</v>
      </c>
      <c r="F62" s="34">
        <f t="shared" si="4"/>
        <v>0</v>
      </c>
    </row>
    <row r="63" spans="1:8">
      <c r="A63" s="43" t="s">
        <v>45</v>
      </c>
      <c r="B63" s="44" t="s">
        <v>46</v>
      </c>
      <c r="C63" s="37">
        <v>44.321980000000003</v>
      </c>
      <c r="D63" s="37">
        <v>44.321980000000003</v>
      </c>
      <c r="E63" s="38">
        <f t="shared" si="3"/>
        <v>100</v>
      </c>
      <c r="F63" s="38">
        <f t="shared" si="4"/>
        <v>0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37.598399999999998</v>
      </c>
      <c r="D64" s="32">
        <f>D68+D67+D69</f>
        <v>37.59834</v>
      </c>
      <c r="E64" s="34">
        <f t="shared" si="3"/>
        <v>99.999840418741229</v>
      </c>
      <c r="F64" s="34">
        <f t="shared" si="4"/>
        <v>-5.9999999997728537E-5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>
      <c r="A68" s="46" t="s">
        <v>210</v>
      </c>
      <c r="B68" s="47" t="s">
        <v>211</v>
      </c>
      <c r="C68" s="37">
        <v>32.767060000000001</v>
      </c>
      <c r="D68" s="37">
        <v>32.767000000000003</v>
      </c>
      <c r="E68" s="34">
        <f t="shared" si="3"/>
        <v>99.999816889278449</v>
      </c>
      <c r="F68" s="34">
        <f t="shared" si="4"/>
        <v>-5.9999999997728537E-5</v>
      </c>
    </row>
    <row r="69" spans="1:7" ht="15.75" customHeight="1">
      <c r="A69" s="46" t="s">
        <v>330</v>
      </c>
      <c r="B69" s="47" t="s">
        <v>331</v>
      </c>
      <c r="C69" s="37">
        <v>2</v>
      </c>
      <c r="D69" s="37">
        <v>2</v>
      </c>
      <c r="E69" s="34"/>
      <c r="F69" s="34"/>
    </row>
    <row r="70" spans="1:7" s="6" customFormat="1" ht="15" customHeight="1">
      <c r="A70" s="30" t="s">
        <v>55</v>
      </c>
      <c r="B70" s="31" t="s">
        <v>56</v>
      </c>
      <c r="C70" s="48">
        <f>SUM(C71:C74)</f>
        <v>1178.02135</v>
      </c>
      <c r="D70" s="48">
        <f>SUM(D71:D74)</f>
        <v>958.36656000000005</v>
      </c>
      <c r="E70" s="34">
        <f t="shared" si="3"/>
        <v>81.353921132244338</v>
      </c>
      <c r="F70" s="34">
        <f t="shared" si="4"/>
        <v>-219.65478999999993</v>
      </c>
    </row>
    <row r="71" spans="1:7" ht="15" hidden="1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0.75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1161.52135</v>
      </c>
      <c r="D73" s="37">
        <v>941.86656000000005</v>
      </c>
      <c r="E73" s="38">
        <f t="shared" si="3"/>
        <v>81.089044123037439</v>
      </c>
      <c r="F73" s="38">
        <f t="shared" si="4"/>
        <v>-219.65478999999993</v>
      </c>
    </row>
    <row r="74" spans="1:7">
      <c r="A74" s="35" t="s">
        <v>63</v>
      </c>
      <c r="B74" s="39" t="s">
        <v>64</v>
      </c>
      <c r="C74" s="49">
        <v>16.5</v>
      </c>
      <c r="D74" s="37">
        <v>16.5</v>
      </c>
      <c r="E74" s="38">
        <f t="shared" si="3"/>
        <v>100</v>
      </c>
      <c r="F74" s="38">
        <f t="shared" si="4"/>
        <v>0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10952.36614</v>
      </c>
      <c r="D75" s="32">
        <f>SUM(D77:D78)</f>
        <v>10240.9421</v>
      </c>
      <c r="E75" s="34">
        <f t="shared" si="3"/>
        <v>93.50438041509814</v>
      </c>
      <c r="F75" s="34">
        <f t="shared" si="4"/>
        <v>-711.42403999999988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10604.957490000001</v>
      </c>
      <c r="D77" s="37">
        <v>9894.0341200000003</v>
      </c>
      <c r="E77" s="38">
        <f t="shared" si="3"/>
        <v>93.296310987852905</v>
      </c>
      <c r="F77" s="38">
        <f t="shared" si="4"/>
        <v>-710.92337000000043</v>
      </c>
    </row>
    <row r="78" spans="1:7">
      <c r="A78" s="35" t="s">
        <v>71</v>
      </c>
      <c r="B78" s="39" t="s">
        <v>72</v>
      </c>
      <c r="C78" s="37">
        <v>347.40865000000002</v>
      </c>
      <c r="D78" s="37">
        <v>346.90798000000001</v>
      </c>
      <c r="E78" s="38">
        <f>SUM(D78/C78*100)</f>
        <v>99.855884417385681</v>
      </c>
      <c r="F78" s="38">
        <f t="shared" si="4"/>
        <v>-0.50067000000001372</v>
      </c>
    </row>
    <row r="79" spans="1:7" s="6" customFormat="1">
      <c r="A79" s="30" t="s">
        <v>81</v>
      </c>
      <c r="B79" s="31" t="s">
        <v>82</v>
      </c>
      <c r="C79" s="32">
        <f>C80</f>
        <v>1224.953</v>
      </c>
      <c r="D79" s="32">
        <f>SUM(D80)</f>
        <v>1200.5398399999999</v>
      </c>
      <c r="E79" s="34">
        <f t="shared" si="3"/>
        <v>98.007012513949505</v>
      </c>
      <c r="F79" s="34">
        <f t="shared" si="4"/>
        <v>-24.413160000000062</v>
      </c>
    </row>
    <row r="80" spans="1:7" ht="20.25" customHeight="1">
      <c r="A80" s="35" t="s">
        <v>83</v>
      </c>
      <c r="B80" s="39" t="s">
        <v>225</v>
      </c>
      <c r="C80" s="37">
        <v>1224.953</v>
      </c>
      <c r="D80" s="37">
        <v>1200.5398399999999</v>
      </c>
      <c r="E80" s="38">
        <f t="shared" si="3"/>
        <v>98.007012513949505</v>
      </c>
      <c r="F80" s="38">
        <f t="shared" si="4"/>
        <v>-24.413160000000062</v>
      </c>
    </row>
    <row r="81" spans="1:6" s="6" customFormat="1" ht="0.75" customHeight="1">
      <c r="A81" s="52">
        <v>1000</v>
      </c>
      <c r="B81" s="31" t="s">
        <v>84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>
      <c r="A82" s="53">
        <v>1001</v>
      </c>
      <c r="B82" s="54" t="s">
        <v>85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86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87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88</v>
      </c>
      <c r="B85" s="39" t="s">
        <v>89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90</v>
      </c>
      <c r="B86" s="31" t="s">
        <v>91</v>
      </c>
      <c r="C86" s="32">
        <f>C87+C88+C89+C90+C91</f>
        <v>2.5499999999999998</v>
      </c>
      <c r="D86" s="32">
        <f>D87+D88+D89+D90+D91</f>
        <v>2.5499999999999998</v>
      </c>
      <c r="E86" s="38">
        <f t="shared" si="3"/>
        <v>100</v>
      </c>
      <c r="F86" s="22">
        <f>F87+F88+F89+F90+F91</f>
        <v>0</v>
      </c>
    </row>
    <row r="87" spans="1:6" ht="14.25" customHeight="1">
      <c r="A87" s="35" t="s">
        <v>92</v>
      </c>
      <c r="B87" s="39" t="s">
        <v>93</v>
      </c>
      <c r="C87" s="227">
        <v>2.5499999999999998</v>
      </c>
      <c r="D87" s="227">
        <v>2.5499999999999998</v>
      </c>
      <c r="E87" s="38">
        <f t="shared" si="3"/>
        <v>100</v>
      </c>
      <c r="F87" s="38">
        <f>SUM(D87-C87)</f>
        <v>0</v>
      </c>
    </row>
    <row r="88" spans="1:6" ht="15.75" hidden="1" customHeight="1">
      <c r="A88" s="35" t="s">
        <v>94</v>
      </c>
      <c r="B88" s="39" t="s">
        <v>95</v>
      </c>
      <c r="C88" s="227"/>
      <c r="D88" s="227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96</v>
      </c>
      <c r="B89" s="39" t="s">
        <v>97</v>
      </c>
      <c r="C89" s="227"/>
      <c r="D89" s="227"/>
      <c r="E89" s="38" t="e">
        <f t="shared" si="3"/>
        <v>#DIV/0!</v>
      </c>
      <c r="F89" s="38"/>
    </row>
    <row r="90" spans="1:6" ht="15.75" hidden="1" customHeight="1">
      <c r="A90" s="35" t="s">
        <v>98</v>
      </c>
      <c r="B90" s="39" t="s">
        <v>99</v>
      </c>
      <c r="C90" s="227"/>
      <c r="D90" s="227"/>
      <c r="E90" s="38" t="e">
        <f t="shared" si="3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227"/>
      <c r="D91" s="227"/>
      <c r="E91" s="38" t="e">
        <f t="shared" si="3"/>
        <v>#DIV/0!</v>
      </c>
      <c r="F91" s="38"/>
    </row>
    <row r="92" spans="1:6" s="6" customFormat="1" ht="16.5" hidden="1" customHeight="1">
      <c r="A92" s="52">
        <v>1400</v>
      </c>
      <c r="B92" s="56" t="s">
        <v>109</v>
      </c>
      <c r="C92" s="228">
        <f>C93+C94+C95</f>
        <v>0</v>
      </c>
      <c r="D92" s="22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110</v>
      </c>
      <c r="C93" s="229"/>
      <c r="D93" s="227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111</v>
      </c>
      <c r="C94" s="229"/>
      <c r="D94" s="227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112</v>
      </c>
      <c r="C95" s="230">
        <v>0</v>
      </c>
      <c r="D95" s="231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113</v>
      </c>
      <c r="C96" s="371">
        <f>C54+C62+C64+C70+C75+C79+C86</f>
        <v>15025.927579999998</v>
      </c>
      <c r="D96" s="371">
        <f>D54+D62+D64+D70+D75+D79+D86</f>
        <v>13933.535329999999</v>
      </c>
      <c r="E96" s="34">
        <f t="shared" si="3"/>
        <v>92.72995131792058</v>
      </c>
      <c r="F96" s="34">
        <f t="shared" si="4"/>
        <v>-1092.392249999999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114</v>
      </c>
      <c r="B98" s="109"/>
      <c r="C98" s="127"/>
      <c r="D98" s="110"/>
    </row>
    <row r="99" spans="1:4" s="111" customFormat="1" ht="13.5" customHeight="1">
      <c r="A99" s="112" t="s">
        <v>115</v>
      </c>
      <c r="B99" s="112"/>
      <c r="C99" s="116" t="s">
        <v>116</v>
      </c>
    </row>
    <row r="101" spans="1:4" ht="5.25" customHeight="1"/>
  </sheetData>
  <customSheetViews>
    <customSheetView guid="{61528DAC-5C4C-48F4-ADE2-8A724B05A086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A486C6EE-08B2-475E-8DA1-C3C3163412A9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F1E84C44-1ACD-474A-BDE0-C7088DB6C590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3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5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64" orientation="portrait" r:id="rId6"/>
    </customSheetView>
    <customSheetView guid="{B30CE22D-C12F-4E12-8BB9-3AAE0A6991CC}" scale="70" showPageBreaks="1" hiddenRows="1" view="pageBreakPreview" topLeftCell="A3">
      <selection activeCell="D14" sqref="D14"/>
      <pageMargins left="0.70866141732283472" right="0.70866141732283472" top="0.74803149606299213" bottom="0.74803149606299213" header="0.31496062992125984" footer="0.31496062992125984"/>
      <pageSetup paperSize="9" scale="52" orientation="portrait" r:id="rId7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8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9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10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12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4"/>
</worksheet>
</file>

<file path=xl/worksheets/sheet21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334</v>
      </c>
      <c r="AO1" t="s">
        <v>335</v>
      </c>
      <c r="AP1" t="s">
        <v>336</v>
      </c>
      <c r="AS1" t="s">
        <v>337</v>
      </c>
      <c r="AW1">
        <v>187.4</v>
      </c>
      <c r="AX1" t="s">
        <v>338</v>
      </c>
      <c r="AY1" t="s">
        <v>339</v>
      </c>
    </row>
    <row r="2" spans="32:51">
      <c r="AF2" t="s">
        <v>340</v>
      </c>
      <c r="AJ2" t="s">
        <v>341</v>
      </c>
    </row>
    <row r="3" spans="32:51">
      <c r="AF3" t="s">
        <v>343</v>
      </c>
      <c r="AH3" t="s">
        <v>342</v>
      </c>
      <c r="AJ3" t="s">
        <v>343</v>
      </c>
      <c r="AN3" t="s">
        <v>342</v>
      </c>
      <c r="AO3" t="s">
        <v>342</v>
      </c>
      <c r="AP3" t="s">
        <v>342</v>
      </c>
      <c r="AS3" t="s">
        <v>344</v>
      </c>
      <c r="AT3" t="s">
        <v>345</v>
      </c>
      <c r="AU3" t="s">
        <v>346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347</v>
      </c>
      <c r="AU4" t="s">
        <v>348</v>
      </c>
      <c r="AV4" t="s">
        <v>349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350</v>
      </c>
      <c r="AU5" t="s">
        <v>348</v>
      </c>
      <c r="AV5" t="s">
        <v>351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352</v>
      </c>
      <c r="AU6" t="s">
        <v>348</v>
      </c>
      <c r="AV6" t="s">
        <v>351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353</v>
      </c>
      <c r="AU7" t="s">
        <v>348</v>
      </c>
      <c r="AV7" t="s">
        <v>354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355</v>
      </c>
      <c r="AU8" t="s">
        <v>348</v>
      </c>
      <c r="AV8" t="s">
        <v>356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357</v>
      </c>
      <c r="AU9" t="s">
        <v>348</v>
      </c>
      <c r="AV9" t="s">
        <v>358</v>
      </c>
      <c r="AW9" t="s">
        <v>359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360</v>
      </c>
      <c r="AU10" t="s">
        <v>348</v>
      </c>
      <c r="AV10" t="s">
        <v>361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362</v>
      </c>
      <c r="AU11" t="s">
        <v>348</v>
      </c>
      <c r="AV11" t="s">
        <v>363</v>
      </c>
      <c r="AW11" t="s">
        <v>359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364</v>
      </c>
      <c r="AU12" t="s">
        <v>348</v>
      </c>
      <c r="AV12" t="s">
        <v>365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366</v>
      </c>
      <c r="AU13" t="s">
        <v>348</v>
      </c>
      <c r="AV13" t="s">
        <v>367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368</v>
      </c>
      <c r="AU14" t="s">
        <v>348</v>
      </c>
      <c r="AV14" t="s">
        <v>354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369</v>
      </c>
      <c r="AU15" t="s">
        <v>348</v>
      </c>
      <c r="AV15" t="s">
        <v>370</v>
      </c>
      <c r="AW15" t="s">
        <v>371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372</v>
      </c>
      <c r="AU16" t="s">
        <v>348</v>
      </c>
      <c r="AV16" t="s">
        <v>351</v>
      </c>
      <c r="AW16" t="s">
        <v>373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374</v>
      </c>
      <c r="AU17" t="s">
        <v>348</v>
      </c>
      <c r="AV17" t="s">
        <v>375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376</v>
      </c>
      <c r="AU18" t="s">
        <v>348</v>
      </c>
      <c r="AV18" t="s">
        <v>351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377</v>
      </c>
      <c r="AU19" t="s">
        <v>378</v>
      </c>
      <c r="AV19" t="s">
        <v>361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379</v>
      </c>
      <c r="AY20" t="s">
        <v>380</v>
      </c>
    </row>
    <row r="82" hidden="1"/>
    <row r="83" hidden="1"/>
    <row r="84" hidden="1"/>
  </sheetData>
  <customSheetViews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A486C6EE-08B2-475E-8DA1-C3C3163412A9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F1E84C44-1ACD-474A-BDE0-C7088DB6C590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F85EE840-0C31-454A-8951-832C2E9E0600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1718F1EE-9F48-4DBE-9531-3B70F9C4A5DD}" hiddenRows="1" state="hidden">
      <selection activeCell="B100" sqref="B100"/>
      <pageMargins left="0.7" right="0.7" top="0.75" bottom="0.75" header="0.3" footer="0.3"/>
      <pageSetup paperSize="9" orientation="portrait" verticalDpi="0" r:id="rId6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8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9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10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11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12"/>
    </customSheetView>
  </customSheetViews>
  <pageMargins left="0.7" right="0.7" top="0.75" bottom="0.75" header="0.3" footer="0.3"/>
  <pageSetup paperSize="9" orientation="portrait" verticalDpi="0" r:id="rId1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528DAC-5C4C-48F4-ADE2-8A724B05A086}" state="hidden" topLeftCell="A16">
      <pageMargins left="0.7" right="0.7" top="0.75" bottom="0.75" header="0.3" footer="0.3"/>
    </customSheetView>
    <customSheetView guid="{A486C6EE-08B2-475E-8DA1-C3C3163412A9}" state="hidden" topLeftCell="A16">
      <pageMargins left="0.7" right="0.7" top="0.75" bottom="0.75" header="0.3" footer="0.3"/>
    </customSheetView>
    <customSheetView guid="{F1E84C44-1ACD-474A-BDE0-C7088DB6C590}" state="hidden" topLeftCell="A16">
      <pageMargins left="0.7" right="0.7" top="0.75" bottom="0.75" header="0.3" footer="0.3"/>
    </customSheetView>
    <customSheetView guid="{F85EE840-0C31-454A-8951-832C2E9E0600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1718F1EE-9F48-4DBE-9531-3B70F9C4A5DD}" state="hidden" topLeftCell="A16">
      <pageMargins left="0.7" right="0.7" top="0.75" bottom="0.75" header="0.3" footer="0.3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1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B31C8DB7-3E78-4144-A6B5-8DE36DE63F0E}" topLeftCell="A16">
      <pageMargins left="0.7" right="0.7" top="0.75" bottom="0.75" header="0.3" footer="0.3"/>
      <pageSetup paperSize="9" orientation="portrait" r:id="rId3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5C539BE6-C8E0-453F-AB5E-9E58094195EA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L29:L44"/>
  <sheetViews>
    <sheetView workbookViewId="0">
      <selection activeCell="D1" sqref="D1:D1048576"/>
    </sheetView>
  </sheetViews>
  <sheetFormatPr defaultRowHeight="12.75"/>
  <sheetData>
    <row r="29" spans="12:12" ht="18">
      <c r="L29" s="416"/>
    </row>
    <row r="30" spans="12:12" ht="18">
      <c r="L30" s="416"/>
    </row>
    <row r="31" spans="12:12" ht="18">
      <c r="L31" s="416"/>
    </row>
    <row r="32" spans="12:12" ht="18">
      <c r="L32" s="416"/>
    </row>
    <row r="33" spans="12:12" ht="18">
      <c r="L33" s="417"/>
    </row>
    <row r="34" spans="12:12" ht="18">
      <c r="L34" s="416"/>
    </row>
    <row r="35" spans="12:12" ht="18">
      <c r="L35" s="416"/>
    </row>
    <row r="36" spans="12:12" ht="18">
      <c r="L36" s="416"/>
    </row>
    <row r="37" spans="12:12" ht="18">
      <c r="L37" s="417"/>
    </row>
    <row r="38" spans="12:12" ht="18">
      <c r="L38" s="416"/>
    </row>
    <row r="39" spans="12:12" ht="18">
      <c r="L39" s="416"/>
    </row>
    <row r="40" spans="12:12" ht="18">
      <c r="L40" s="417"/>
    </row>
    <row r="41" spans="12:12" ht="18">
      <c r="L41" s="416"/>
    </row>
    <row r="42" spans="12:12" ht="18">
      <c r="L42" s="416"/>
    </row>
    <row r="43" spans="12:12" ht="18">
      <c r="L43" s="416"/>
    </row>
    <row r="44" spans="12:12" ht="18">
      <c r="L44" s="416"/>
    </row>
  </sheetData>
  <customSheetViews>
    <customSheetView guid="{61528DAC-5C4C-48F4-ADE2-8A724B05A086}" state="hidden">
      <selection activeCell="D1" sqref="D1:D1048576"/>
      <pageMargins left="0.7" right="0.7" top="0.75" bottom="0.75" header="0.3" footer="0.3"/>
    </customSheetView>
    <customSheetView guid="{A486C6EE-08B2-475E-8DA1-C3C3163412A9}" state="hidden">
      <selection activeCell="D1" sqref="D1:D1048576"/>
      <pageMargins left="0.7" right="0.7" top="0.75" bottom="0.75" header="0.3" footer="0.3"/>
    </customSheetView>
    <customSheetView guid="{F1E84C44-1ACD-474A-BDE0-C7088DB6C590}" state="hidden">
      <selection activeCell="D1" sqref="D1:D1048576"/>
      <pageMargins left="0.7" right="0.7" top="0.75" bottom="0.75" header="0.3" footer="0.3"/>
    </customSheetView>
    <customSheetView guid="{F85EE840-0C31-454A-8951-832C2E9E0600}" state="hidden">
      <selection activeCell="D1" sqref="D1:D1048576"/>
      <pageMargins left="0.7" right="0.7" top="0.75" bottom="0.75" header="0.3" footer="0.3"/>
    </customSheetView>
    <customSheetView guid="{3DCB9AAA-F09C-4EA6-B992-F93E466D374A}" state="hidden">
      <selection activeCell="D1" sqref="D1:D1048576"/>
      <pageMargins left="0.7" right="0.7" top="0.75" bottom="0.75" header="0.3" footer="0.3"/>
    </customSheetView>
    <customSheetView guid="{1718F1EE-9F48-4DBE-9531-3B70F9C4A5DD}" state="hidden">
      <selection activeCell="D1" sqref="D1:D1048576"/>
      <pageMargins left="0.7" right="0.7" top="0.75" bottom="0.75" header="0.3" footer="0.3"/>
    </customSheetView>
    <customSheetView guid="{B30CE22D-C12F-4E12-8BB9-3AAE0A6991CC}" showPageBreaks="1">
      <selection activeCell="C4" sqref="C4:Q45"/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2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A486C6EE-08B2-475E-8DA1-C3C3163412A9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3DCB9AAA-F09C-4EA6-B992-F93E466D374A}" state="hidden">
      <pageMargins left="0.7" right="0.7" top="0.75" bottom="0.75" header="0.3" footer="0.3"/>
    </customSheetView>
    <customSheetView guid="{1718F1EE-9F48-4DBE-9531-3B70F9C4A5DD}" state="hidden">
      <pageMargins left="0.7" right="0.7" top="0.75" bottom="0.75" header="0.3" footer="0.3"/>
    </customSheetView>
    <customSheetView guid="{B30CE22D-C12F-4E12-8BB9-3AAE0A6991CC}" showPageBreaks="1"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pageMargins left="0.7" right="0.7" top="0.75" bottom="0.75" header="0.3" footer="0.3"/>
      <pageSetup paperSize="9" orientation="portrait" r:id="rId2"/>
    </customSheetView>
    <customSheetView guid="{B31C8DB7-3E78-4144-A6B5-8DE36DE63F0E}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A486C6EE-08B2-475E-8DA1-C3C3163412A9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203"/>
  <sheetViews>
    <sheetView tabSelected="1" view="pageBreakPreview" zoomScale="62" zoomScaleSheetLayoutView="62" workbookViewId="0">
      <selection activeCell="G200" sqref="G200"/>
    </sheetView>
  </sheetViews>
  <sheetFormatPr defaultRowHeight="15.75"/>
  <cols>
    <col min="1" max="1" width="24.7109375" style="58" customWidth="1"/>
    <col min="2" max="2" width="86.28515625" style="59" customWidth="1"/>
    <col min="3" max="3" width="33" style="62" customWidth="1"/>
    <col min="4" max="4" width="30.5703125" style="62" customWidth="1"/>
    <col min="5" max="5" width="24.28515625" style="62" customWidth="1"/>
    <col min="6" max="6" width="32.140625" style="62" customWidth="1"/>
    <col min="7" max="7" width="23.42578125" style="62" customWidth="1"/>
    <col min="8" max="8" width="20.7109375" style="1" customWidth="1"/>
    <col min="9" max="9" width="19.140625" style="1" bestFit="1" customWidth="1"/>
    <col min="10" max="16384" width="9.140625" style="1"/>
  </cols>
  <sheetData>
    <row r="1" spans="1:7" ht="22.5">
      <c r="A1" s="427" t="s">
        <v>440</v>
      </c>
      <c r="B1" s="428"/>
      <c r="C1" s="428"/>
      <c r="D1" s="428"/>
      <c r="E1" s="428"/>
      <c r="F1" s="428"/>
      <c r="G1" s="425"/>
    </row>
    <row r="2" spans="1:7" ht="23.25" thickBot="1">
      <c r="A2" s="426" t="s">
        <v>560</v>
      </c>
      <c r="B2" s="428"/>
      <c r="C2" s="428"/>
      <c r="D2" s="428"/>
      <c r="E2" s="428"/>
      <c r="F2" s="428"/>
      <c r="G2" s="425"/>
    </row>
    <row r="3" spans="1:7" ht="23.25" thickBot="1">
      <c r="A3" s="499"/>
      <c r="B3" s="500"/>
      <c r="C3" s="445" t="s">
        <v>551</v>
      </c>
      <c r="D3" s="446"/>
      <c r="E3" s="447"/>
      <c r="F3" s="448" t="s">
        <v>552</v>
      </c>
      <c r="G3" s="449"/>
    </row>
    <row r="4" spans="1:7" ht="71.25" customHeight="1">
      <c r="A4" s="497" t="s">
        <v>441</v>
      </c>
      <c r="B4" s="498" t="s">
        <v>527</v>
      </c>
      <c r="C4" s="490" t="s">
        <v>446</v>
      </c>
      <c r="D4" s="491" t="s">
        <v>561</v>
      </c>
      <c r="E4" s="492" t="s">
        <v>308</v>
      </c>
      <c r="F4" s="490" t="s">
        <v>562</v>
      </c>
      <c r="G4" s="492" t="s">
        <v>448</v>
      </c>
    </row>
    <row r="5" spans="1:7" s="6" customFormat="1" ht="26.25">
      <c r="A5" s="347"/>
      <c r="B5" s="429" t="s">
        <v>4</v>
      </c>
      <c r="C5" s="538">
        <f>SUM(C6+C8+C13+C26+C18+C28)</f>
        <v>331080.3</v>
      </c>
      <c r="D5" s="451">
        <f>SUM(D6+D8+D13+D26+D18+D28)</f>
        <v>335167.32850000006</v>
      </c>
      <c r="E5" s="539">
        <f>SUM(D5/C5*100)</f>
        <v>101.23445233678963</v>
      </c>
      <c r="F5" s="450">
        <f t="shared" ref="F5" si="0">SUM(F6+F8+F13+F26+F18+F28)</f>
        <v>240427.67675000001</v>
      </c>
      <c r="G5" s="452">
        <f>SUM(D5/F5*100)</f>
        <v>139.40463636743104</v>
      </c>
    </row>
    <row r="6" spans="1:7" s="6" customFormat="1" ht="25.5">
      <c r="A6" s="347">
        <v>1010000</v>
      </c>
      <c r="B6" s="429" t="s">
        <v>5</v>
      </c>
      <c r="C6" s="538">
        <f>SUM(C7)</f>
        <v>218789.1</v>
      </c>
      <c r="D6" s="451">
        <f>SUM(D7)</f>
        <v>220064.52415000001</v>
      </c>
      <c r="E6" s="563">
        <f t="shared" ref="E6:E69" si="1">SUM(D6/C6*100)</f>
        <v>100.58294684241582</v>
      </c>
      <c r="F6" s="450">
        <f>SUM(F7)</f>
        <v>167464.34327000001</v>
      </c>
      <c r="G6" s="542">
        <f t="shared" ref="G6:G69" si="2">SUM(D6/F6*100)</f>
        <v>131.40977945089696</v>
      </c>
    </row>
    <row r="7" spans="1:7" ht="26.25">
      <c r="A7" s="348">
        <v>1010200001</v>
      </c>
      <c r="B7" s="430" t="s">
        <v>220</v>
      </c>
      <c r="C7" s="453">
        <v>218789.1</v>
      </c>
      <c r="D7" s="454">
        <v>220064.52415000001</v>
      </c>
      <c r="E7" s="452">
        <f t="shared" si="1"/>
        <v>100.58294684241582</v>
      </c>
      <c r="F7" s="454">
        <v>167464.34327000001</v>
      </c>
      <c r="G7" s="452">
        <f t="shared" si="2"/>
        <v>131.40977945089696</v>
      </c>
    </row>
    <row r="8" spans="1:7" ht="40.5">
      <c r="A8" s="347">
        <v>1030000</v>
      </c>
      <c r="B8" s="431" t="s">
        <v>259</v>
      </c>
      <c r="C8" s="450">
        <f>SUM(C9:C12)</f>
        <v>20878.5</v>
      </c>
      <c r="D8" s="451">
        <f>SUM(D9:D12)</f>
        <v>21323.13882</v>
      </c>
      <c r="E8" s="452">
        <f t="shared" si="1"/>
        <v>102.12964925641211</v>
      </c>
      <c r="F8" s="450">
        <f>SUM(F9:F12)</f>
        <v>19567.063460000001</v>
      </c>
      <c r="G8" s="452">
        <f t="shared" si="2"/>
        <v>108.97464948478273</v>
      </c>
    </row>
    <row r="9" spans="1:7" ht="26.25">
      <c r="A9" s="348">
        <v>1030223001</v>
      </c>
      <c r="B9" s="430" t="s">
        <v>261</v>
      </c>
      <c r="C9" s="453">
        <v>9500</v>
      </c>
      <c r="D9" s="454">
        <v>11016.295469999999</v>
      </c>
      <c r="E9" s="452">
        <f t="shared" si="1"/>
        <v>115.96100494736841</v>
      </c>
      <c r="F9" s="454">
        <v>10138.76217</v>
      </c>
      <c r="G9" s="452">
        <f t="shared" si="2"/>
        <v>108.65523113459126</v>
      </c>
    </row>
    <row r="10" spans="1:7" ht="26.25">
      <c r="A10" s="348">
        <v>1030224001</v>
      </c>
      <c r="B10" s="430" t="s">
        <v>267</v>
      </c>
      <c r="C10" s="453">
        <v>58.5</v>
      </c>
      <c r="D10" s="454">
        <v>63.650649999999999</v>
      </c>
      <c r="E10" s="452">
        <f t="shared" si="1"/>
        <v>108.80452991452991</v>
      </c>
      <c r="F10" s="454">
        <v>52.953719999999997</v>
      </c>
      <c r="G10" s="452">
        <f t="shared" si="2"/>
        <v>120.20052604425146</v>
      </c>
    </row>
    <row r="11" spans="1:7" ht="26.25">
      <c r="A11" s="348">
        <v>1030225001</v>
      </c>
      <c r="B11" s="430" t="s">
        <v>260</v>
      </c>
      <c r="C11" s="453">
        <v>11320</v>
      </c>
      <c r="D11" s="454">
        <v>11442.302100000001</v>
      </c>
      <c r="E11" s="452">
        <f t="shared" si="1"/>
        <v>101.08040724381627</v>
      </c>
      <c r="F11" s="454">
        <v>10479.201880000001</v>
      </c>
      <c r="G11" s="452">
        <f t="shared" si="2"/>
        <v>109.19058751829296</v>
      </c>
    </row>
    <row r="12" spans="1:7" ht="26.25">
      <c r="A12" s="348">
        <v>1030226001</v>
      </c>
      <c r="B12" s="430" t="s">
        <v>269</v>
      </c>
      <c r="C12" s="453">
        <v>0</v>
      </c>
      <c r="D12" s="454">
        <v>-1199.1094000000001</v>
      </c>
      <c r="E12" s="452"/>
      <c r="F12" s="454">
        <v>-1103.8543099999999</v>
      </c>
      <c r="G12" s="452">
        <f t="shared" si="2"/>
        <v>108.62931721487776</v>
      </c>
    </row>
    <row r="13" spans="1:7" s="6" customFormat="1" ht="25.5">
      <c r="A13" s="347">
        <v>1050000</v>
      </c>
      <c r="B13" s="429" t="s">
        <v>6</v>
      </c>
      <c r="C13" s="538">
        <f>SUM(C14:C17)</f>
        <v>59550</v>
      </c>
      <c r="D13" s="451">
        <f>SUM(D14:D17)</f>
        <v>60213.865669999999</v>
      </c>
      <c r="E13" s="542">
        <f t="shared" si="1"/>
        <v>101.11480381192276</v>
      </c>
      <c r="F13" s="450">
        <f>SUM(F14:F17)</f>
        <v>24139.603890000002</v>
      </c>
      <c r="G13" s="542">
        <f t="shared" si="2"/>
        <v>249.44015628584532</v>
      </c>
    </row>
    <row r="14" spans="1:7" s="6" customFormat="1" ht="26.25">
      <c r="A14" s="348">
        <v>1050100000</v>
      </c>
      <c r="B14" s="432" t="s">
        <v>391</v>
      </c>
      <c r="C14" s="540">
        <v>29100</v>
      </c>
      <c r="D14" s="456">
        <v>29863.42424</v>
      </c>
      <c r="E14" s="452">
        <f t="shared" si="1"/>
        <v>102.62345099656358</v>
      </c>
      <c r="F14" s="456">
        <v>21204.66892</v>
      </c>
      <c r="G14" s="452">
        <f t="shared" si="2"/>
        <v>140.83419247273963</v>
      </c>
    </row>
    <row r="15" spans="1:7" ht="26.25">
      <c r="A15" s="348">
        <v>1050200000</v>
      </c>
      <c r="B15" s="432" t="s">
        <v>228</v>
      </c>
      <c r="C15" s="541">
        <v>0</v>
      </c>
      <c r="D15" s="454">
        <v>22.009709999999998</v>
      </c>
      <c r="E15" s="452"/>
      <c r="F15" s="454">
        <v>-46.617519999999999</v>
      </c>
      <c r="G15" s="452">
        <f t="shared" si="2"/>
        <v>-47.213386726707043</v>
      </c>
    </row>
    <row r="16" spans="1:7" ht="23.25" customHeight="1">
      <c r="A16" s="348">
        <v>1050300000</v>
      </c>
      <c r="B16" s="432" t="s">
        <v>221</v>
      </c>
      <c r="C16" s="541">
        <v>27950</v>
      </c>
      <c r="D16" s="454">
        <v>27835.569100000001</v>
      </c>
      <c r="E16" s="452">
        <f t="shared" si="1"/>
        <v>99.590587119856892</v>
      </c>
      <c r="F16" s="454">
        <v>2406.6720500000001</v>
      </c>
      <c r="G16" s="452">
        <f t="shared" si="2"/>
        <v>1156.6000070512307</v>
      </c>
    </row>
    <row r="17" spans="1:7" ht="40.5">
      <c r="A17" s="348">
        <v>1050400002</v>
      </c>
      <c r="B17" s="430" t="s">
        <v>249</v>
      </c>
      <c r="C17" s="541">
        <v>2500</v>
      </c>
      <c r="D17" s="454">
        <v>2492.8626199999999</v>
      </c>
      <c r="E17" s="452">
        <f t="shared" si="1"/>
        <v>99.714504799999986</v>
      </c>
      <c r="F17" s="454">
        <v>574.88044000000002</v>
      </c>
      <c r="G17" s="452">
        <f t="shared" si="2"/>
        <v>433.6314904017259</v>
      </c>
    </row>
    <row r="18" spans="1:7" s="6" customFormat="1" ht="24" customHeight="1">
      <c r="A18" s="347">
        <v>1060000</v>
      </c>
      <c r="B18" s="429" t="s">
        <v>129</v>
      </c>
      <c r="C18" s="538">
        <f>SUM(C20+C23+C19)</f>
        <v>26952.7</v>
      </c>
      <c r="D18" s="451">
        <f>SUM(D20+D23+D19)</f>
        <v>28008.586450000003</v>
      </c>
      <c r="E18" s="542">
        <f t="shared" si="1"/>
        <v>103.91755352896</v>
      </c>
      <c r="F18" s="450">
        <f>SUM(F20+F23+F19)</f>
        <v>25774.619349999997</v>
      </c>
      <c r="G18" s="542">
        <f t="shared" si="2"/>
        <v>108.66731364550688</v>
      </c>
    </row>
    <row r="19" spans="1:7" s="6" customFormat="1" ht="18" customHeight="1">
      <c r="A19" s="348">
        <v>1060100000</v>
      </c>
      <c r="B19" s="432" t="s">
        <v>8</v>
      </c>
      <c r="C19" s="540">
        <v>7500</v>
      </c>
      <c r="D19" s="454">
        <v>8134.54342</v>
      </c>
      <c r="E19" s="452">
        <f t="shared" si="1"/>
        <v>108.46057893333334</v>
      </c>
      <c r="F19" s="454">
        <v>7453.4506199999996</v>
      </c>
      <c r="G19" s="452">
        <f t="shared" si="2"/>
        <v>109.13795280500564</v>
      </c>
    </row>
    <row r="20" spans="1:7" s="6" customFormat="1" ht="21.75" customHeight="1">
      <c r="A20" s="348">
        <v>1060400000</v>
      </c>
      <c r="B20" s="429" t="s">
        <v>461</v>
      </c>
      <c r="C20" s="540">
        <v>2952.7</v>
      </c>
      <c r="D20" s="456">
        <f>SUM(D21:D22)</f>
        <v>3179.7681600000001</v>
      </c>
      <c r="E20" s="452">
        <f t="shared" si="1"/>
        <v>107.69018728621262</v>
      </c>
      <c r="F20" s="454">
        <f>SUM(F21:F22)</f>
        <v>3030.3750700000001</v>
      </c>
      <c r="G20" s="452">
        <f t="shared" si="2"/>
        <v>104.9298547720695</v>
      </c>
    </row>
    <row r="21" spans="1:7" s="6" customFormat="1" ht="21.75" customHeight="1">
      <c r="A21" s="348"/>
      <c r="B21" s="502" t="s">
        <v>459</v>
      </c>
      <c r="C21" s="540">
        <v>300</v>
      </c>
      <c r="D21" s="454">
        <v>221.44074000000001</v>
      </c>
      <c r="E21" s="452">
        <f t="shared" si="1"/>
        <v>73.813580000000002</v>
      </c>
      <c r="F21" s="454">
        <v>166.60285999999999</v>
      </c>
      <c r="G21" s="452">
        <f t="shared" si="2"/>
        <v>132.91532930467099</v>
      </c>
    </row>
    <row r="22" spans="1:7" s="6" customFormat="1" ht="21.75" customHeight="1">
      <c r="A22" s="348"/>
      <c r="B22" s="502" t="s">
        <v>460</v>
      </c>
      <c r="C22" s="540">
        <v>2652.7</v>
      </c>
      <c r="D22" s="454">
        <v>2958.3274200000001</v>
      </c>
      <c r="E22" s="452">
        <f t="shared" si="1"/>
        <v>111.52137143287972</v>
      </c>
      <c r="F22" s="454">
        <v>2863.7722100000001</v>
      </c>
      <c r="G22" s="452">
        <f t="shared" si="2"/>
        <v>103.30177133746264</v>
      </c>
    </row>
    <row r="23" spans="1:7" ht="31.5" customHeight="1">
      <c r="A23" s="348">
        <v>1060600000</v>
      </c>
      <c r="B23" s="429" t="s">
        <v>449</v>
      </c>
      <c r="C23" s="540">
        <f>SUM(C24:C25)</f>
        <v>16500</v>
      </c>
      <c r="D23" s="454">
        <f>SUM(D24:D25)</f>
        <v>16694.274870000001</v>
      </c>
      <c r="E23" s="452">
        <f t="shared" si="1"/>
        <v>101.17742345454546</v>
      </c>
      <c r="F23" s="454">
        <f>SUM(F24:F25)</f>
        <v>15290.793659999999</v>
      </c>
      <c r="G23" s="452">
        <f t="shared" si="2"/>
        <v>109.17860276717646</v>
      </c>
    </row>
    <row r="24" spans="1:7" ht="31.5" customHeight="1">
      <c r="A24" s="348"/>
      <c r="B24" s="502" t="s">
        <v>553</v>
      </c>
      <c r="C24" s="540">
        <v>5200</v>
      </c>
      <c r="D24" s="454">
        <v>5251.6822000000002</v>
      </c>
      <c r="E24" s="452">
        <f t="shared" si="1"/>
        <v>100.99388846153848</v>
      </c>
      <c r="F24" s="454">
        <v>3511.9912899999999</v>
      </c>
      <c r="G24" s="452">
        <f t="shared" si="2"/>
        <v>149.53574101830989</v>
      </c>
    </row>
    <row r="25" spans="1:7" ht="31.5" customHeight="1">
      <c r="A25" s="348"/>
      <c r="B25" s="502" t="s">
        <v>462</v>
      </c>
      <c r="C25" s="540">
        <v>11300</v>
      </c>
      <c r="D25" s="454">
        <v>11442.59267</v>
      </c>
      <c r="E25" s="452">
        <f t="shared" si="1"/>
        <v>101.26188203539823</v>
      </c>
      <c r="F25" s="454">
        <v>11778.802369999999</v>
      </c>
      <c r="G25" s="452">
        <f t="shared" si="2"/>
        <v>97.145637651105275</v>
      </c>
    </row>
    <row r="26" spans="1:7" s="6" customFormat="1" ht="42" customHeight="1">
      <c r="A26" s="347">
        <v>1070000</v>
      </c>
      <c r="B26" s="431" t="s">
        <v>9</v>
      </c>
      <c r="C26" s="538">
        <v>500</v>
      </c>
      <c r="D26" s="451">
        <f>SUM(D27)</f>
        <v>489.86200000000002</v>
      </c>
      <c r="E26" s="542">
        <f t="shared" si="1"/>
        <v>97.972400000000007</v>
      </c>
      <c r="F26" s="450">
        <f>SUM(F27)</f>
        <v>1078.45074</v>
      </c>
      <c r="G26" s="542">
        <f t="shared" si="2"/>
        <v>45.422751529661895</v>
      </c>
    </row>
    <row r="27" spans="1:7" ht="36.75" customHeight="1">
      <c r="A27" s="348">
        <v>1070102001</v>
      </c>
      <c r="B27" s="430" t="s">
        <v>229</v>
      </c>
      <c r="C27" s="540">
        <v>500</v>
      </c>
      <c r="D27" s="454">
        <v>489.86200000000002</v>
      </c>
      <c r="E27" s="452">
        <f t="shared" si="1"/>
        <v>97.972400000000007</v>
      </c>
      <c r="F27" s="454">
        <v>1078.45074</v>
      </c>
      <c r="G27" s="452">
        <f t="shared" si="2"/>
        <v>45.422751529661895</v>
      </c>
    </row>
    <row r="28" spans="1:7" s="6" customFormat="1" ht="25.5">
      <c r="A28" s="347">
        <v>1080000</v>
      </c>
      <c r="B28" s="429" t="s">
        <v>10</v>
      </c>
      <c r="C28" s="538">
        <f>SUM(C29:C31)</f>
        <v>4410</v>
      </c>
      <c r="D28" s="451">
        <f>SUM(D29:D31)</f>
        <v>5067.3514099999993</v>
      </c>
      <c r="E28" s="542">
        <f t="shared" si="1"/>
        <v>114.90592766439909</v>
      </c>
      <c r="F28" s="450">
        <f>SUM(F29:F31)</f>
        <v>2403.5960399999999</v>
      </c>
      <c r="G28" s="542">
        <f t="shared" si="2"/>
        <v>210.82375431106132</v>
      </c>
    </row>
    <row r="29" spans="1:7" ht="27" customHeight="1">
      <c r="A29" s="348">
        <v>1080300001</v>
      </c>
      <c r="B29" s="430" t="s">
        <v>230</v>
      </c>
      <c r="C29" s="540">
        <v>4360</v>
      </c>
      <c r="D29" s="454">
        <v>5022.1214099999997</v>
      </c>
      <c r="E29" s="452">
        <f t="shared" si="1"/>
        <v>115.18627087155964</v>
      </c>
      <c r="F29" s="454">
        <v>2352.1460400000001</v>
      </c>
      <c r="G29" s="452">
        <f t="shared" si="2"/>
        <v>213.51231278139517</v>
      </c>
    </row>
    <row r="30" spans="1:7" ht="24" customHeight="1">
      <c r="A30" s="348">
        <v>1080400001</v>
      </c>
      <c r="B30" s="430" t="s">
        <v>219</v>
      </c>
      <c r="C30" s="540">
        <v>50</v>
      </c>
      <c r="D30" s="454">
        <v>45.23</v>
      </c>
      <c r="E30" s="452">
        <f t="shared" si="1"/>
        <v>90.46</v>
      </c>
      <c r="F30" s="454">
        <v>51.45</v>
      </c>
      <c r="G30" s="452">
        <f t="shared" si="2"/>
        <v>87.910592808551982</v>
      </c>
    </row>
    <row r="31" spans="1:7" ht="37.5" customHeight="1">
      <c r="A31" s="348">
        <v>1080700001</v>
      </c>
      <c r="B31" s="430" t="s">
        <v>445</v>
      </c>
      <c r="C31" s="453">
        <v>0</v>
      </c>
      <c r="D31" s="454"/>
      <c r="E31" s="452"/>
      <c r="F31" s="454"/>
      <c r="G31" s="452"/>
    </row>
    <row r="32" spans="1:7" s="15" customFormat="1" ht="40.5">
      <c r="A32" s="347">
        <v>109000000</v>
      </c>
      <c r="B32" s="431" t="s">
        <v>222</v>
      </c>
      <c r="C32" s="450">
        <v>0</v>
      </c>
      <c r="D32" s="451">
        <v>0</v>
      </c>
      <c r="E32" s="452"/>
      <c r="F32" s="450">
        <v>-3.6400000000000002E-2</v>
      </c>
      <c r="G32" s="452">
        <f t="shared" si="2"/>
        <v>0</v>
      </c>
    </row>
    <row r="33" spans="1:7" s="15" customFormat="1" ht="17.25" customHeight="1">
      <c r="A33" s="348">
        <v>1090100000</v>
      </c>
      <c r="B33" s="430" t="s">
        <v>118</v>
      </c>
      <c r="C33" s="453">
        <v>0</v>
      </c>
      <c r="D33" s="454">
        <v>0</v>
      </c>
      <c r="E33" s="452"/>
      <c r="F33" s="454">
        <v>0</v>
      </c>
      <c r="G33" s="452"/>
    </row>
    <row r="34" spans="1:7" s="15" customFormat="1" ht="17.25" customHeight="1">
      <c r="A34" s="348">
        <v>1090400000</v>
      </c>
      <c r="B34" s="430" t="s">
        <v>224</v>
      </c>
      <c r="C34" s="453">
        <v>0</v>
      </c>
      <c r="D34" s="454">
        <v>0</v>
      </c>
      <c r="E34" s="452"/>
      <c r="F34" s="454">
        <v>0</v>
      </c>
      <c r="G34" s="452"/>
    </row>
    <row r="35" spans="1:7" s="15" customFormat="1" ht="36.75" customHeight="1">
      <c r="A35" s="348">
        <v>1090700000</v>
      </c>
      <c r="B35" s="430" t="s">
        <v>429</v>
      </c>
      <c r="C35" s="453">
        <v>0</v>
      </c>
      <c r="D35" s="454"/>
      <c r="E35" s="452"/>
      <c r="F35" s="454">
        <v>-3.6400000000000002E-2</v>
      </c>
      <c r="G35" s="452"/>
    </row>
    <row r="36" spans="1:7" s="15" customFormat="1" ht="1.5" customHeight="1">
      <c r="A36" s="348">
        <v>1090700000</v>
      </c>
      <c r="B36" s="430" t="s">
        <v>121</v>
      </c>
      <c r="C36" s="453">
        <v>0</v>
      </c>
      <c r="D36" s="454">
        <v>0</v>
      </c>
      <c r="E36" s="452" t="e">
        <f t="shared" si="1"/>
        <v>#DIV/0!</v>
      </c>
      <c r="F36" s="455">
        <v>0</v>
      </c>
      <c r="G36" s="452" t="e">
        <f t="shared" si="2"/>
        <v>#DIV/0!</v>
      </c>
    </row>
    <row r="37" spans="1:7" s="6" customFormat="1" ht="33.75" customHeight="1">
      <c r="A37" s="347"/>
      <c r="B37" s="429" t="s">
        <v>12</v>
      </c>
      <c r="C37" s="538">
        <f>SUM(C38+C48+C50+C53+C57+C59+C65)</f>
        <v>52913.148079999999</v>
      </c>
      <c r="D37" s="451">
        <f>SUM(D38+D48+D50+D53+D57+D59+D65)</f>
        <v>57220.632250000002</v>
      </c>
      <c r="E37" s="542">
        <f t="shared" si="1"/>
        <v>108.14066886265672</v>
      </c>
      <c r="F37" s="450">
        <f>SUM(F38+F48+F50+F53+F59+F65)</f>
        <v>44992.645959999994</v>
      </c>
      <c r="G37" s="542">
        <f t="shared" si="2"/>
        <v>127.17774433819942</v>
      </c>
    </row>
    <row r="38" spans="1:7" s="6" customFormat="1" ht="42.75" customHeight="1">
      <c r="A38" s="347">
        <v>1110000</v>
      </c>
      <c r="B38" s="431" t="s">
        <v>122</v>
      </c>
      <c r="C38" s="538">
        <f>SUM(C39:C47)</f>
        <v>13920</v>
      </c>
      <c r="D38" s="451">
        <f>SUM(D39:D47)</f>
        <v>18141.532750000002</v>
      </c>
      <c r="E38" s="542">
        <f t="shared" si="1"/>
        <v>130.32710308908045</v>
      </c>
      <c r="F38" s="450">
        <f>SUM(F39:F47)</f>
        <v>13234.102359999999</v>
      </c>
      <c r="G38" s="542">
        <f t="shared" si="2"/>
        <v>137.08170192813895</v>
      </c>
    </row>
    <row r="39" spans="1:7" s="6" customFormat="1" ht="34.5" customHeight="1">
      <c r="A39" s="348">
        <v>1110100000</v>
      </c>
      <c r="B39" s="430" t="s">
        <v>298</v>
      </c>
      <c r="C39" s="453">
        <v>0</v>
      </c>
      <c r="D39" s="456">
        <v>0</v>
      </c>
      <c r="E39" s="452"/>
      <c r="F39" s="456">
        <v>0</v>
      </c>
      <c r="G39" s="452"/>
    </row>
    <row r="40" spans="1:7" ht="21" customHeight="1">
      <c r="A40" s="348">
        <v>1110305005</v>
      </c>
      <c r="B40" s="432" t="s">
        <v>231</v>
      </c>
      <c r="C40" s="453">
        <v>0</v>
      </c>
      <c r="D40" s="454">
        <v>0</v>
      </c>
      <c r="E40" s="452"/>
      <c r="F40" s="454">
        <v>0</v>
      </c>
      <c r="G40" s="452"/>
    </row>
    <row r="41" spans="1:7" ht="26.25">
      <c r="A41" s="349">
        <v>1110501000</v>
      </c>
      <c r="B41" s="433" t="s">
        <v>217</v>
      </c>
      <c r="C41" s="457">
        <v>10100</v>
      </c>
      <c r="D41" s="454">
        <v>13710.270829999999</v>
      </c>
      <c r="E41" s="452">
        <f t="shared" si="1"/>
        <v>135.74525574257424</v>
      </c>
      <c r="F41" s="454">
        <v>9834.7524200000007</v>
      </c>
      <c r="G41" s="452">
        <f t="shared" si="2"/>
        <v>139.40636474100484</v>
      </c>
    </row>
    <row r="42" spans="1:7" ht="44.25" customHeight="1">
      <c r="A42" s="349">
        <v>1110502000</v>
      </c>
      <c r="B42" s="434" t="s">
        <v>433</v>
      </c>
      <c r="C42" s="457">
        <v>1800</v>
      </c>
      <c r="D42" s="454">
        <v>2392.35509</v>
      </c>
      <c r="E42" s="452">
        <f t="shared" si="1"/>
        <v>132.90861611111112</v>
      </c>
      <c r="F42" s="454">
        <v>2032.9722999999999</v>
      </c>
      <c r="G42" s="452">
        <f t="shared" si="2"/>
        <v>117.67770224906656</v>
      </c>
    </row>
    <row r="43" spans="1:7" ht="25.5" customHeight="1">
      <c r="A43" s="348">
        <v>1110503505</v>
      </c>
      <c r="B43" s="432" t="s">
        <v>216</v>
      </c>
      <c r="C43" s="457">
        <v>420</v>
      </c>
      <c r="D43" s="454">
        <v>413.39157999999998</v>
      </c>
      <c r="E43" s="452">
        <f t="shared" si="1"/>
        <v>98.426566666666659</v>
      </c>
      <c r="F43" s="454">
        <v>421.69382000000002</v>
      </c>
      <c r="G43" s="452">
        <f t="shared" si="2"/>
        <v>98.031216108407747</v>
      </c>
    </row>
    <row r="44" spans="1:7" ht="37.5" customHeight="1">
      <c r="A44" s="348">
        <v>1110530000</v>
      </c>
      <c r="B44" s="430" t="s">
        <v>447</v>
      </c>
      <c r="C44" s="458">
        <v>0</v>
      </c>
      <c r="D44" s="454">
        <v>1.721E-2</v>
      </c>
      <c r="E44" s="452"/>
      <c r="F44" s="454">
        <v>2.8300000000000001E-3</v>
      </c>
      <c r="G44" s="452">
        <f t="shared" si="2"/>
        <v>608.12720848056529</v>
      </c>
    </row>
    <row r="45" spans="1:7" s="15" customFormat="1" ht="26.25">
      <c r="A45" s="348">
        <v>1110701505</v>
      </c>
      <c r="B45" s="432" t="s">
        <v>232</v>
      </c>
      <c r="C45" s="457">
        <v>600</v>
      </c>
      <c r="D45" s="454">
        <v>602.41399999999999</v>
      </c>
      <c r="E45" s="452">
        <f t="shared" si="1"/>
        <v>100.40233333333333</v>
      </c>
      <c r="F45" s="454">
        <v>261.95400000000001</v>
      </c>
      <c r="G45" s="452">
        <f t="shared" si="2"/>
        <v>229.9693839376379</v>
      </c>
    </row>
    <row r="46" spans="1:7" s="15" customFormat="1" ht="26.25">
      <c r="A46" s="348">
        <v>1110903000</v>
      </c>
      <c r="B46" s="432" t="s">
        <v>382</v>
      </c>
      <c r="C46" s="457">
        <v>0</v>
      </c>
      <c r="D46" s="454">
        <v>0</v>
      </c>
      <c r="E46" s="452"/>
      <c r="F46" s="454">
        <v>0</v>
      </c>
      <c r="G46" s="452"/>
    </row>
    <row r="47" spans="1:7" s="15" customFormat="1" ht="26.25">
      <c r="A47" s="348">
        <v>1110904414</v>
      </c>
      <c r="B47" s="432" t="s">
        <v>309</v>
      </c>
      <c r="C47" s="457">
        <v>1000</v>
      </c>
      <c r="D47" s="454">
        <v>1023.08404</v>
      </c>
      <c r="E47" s="452">
        <f t="shared" si="1"/>
        <v>102.30840399999998</v>
      </c>
      <c r="F47" s="454">
        <v>682.72699</v>
      </c>
      <c r="G47" s="452">
        <f t="shared" si="2"/>
        <v>149.8525845594591</v>
      </c>
    </row>
    <row r="48" spans="1:7" s="15" customFormat="1" ht="40.5">
      <c r="A48" s="347">
        <v>1120000</v>
      </c>
      <c r="B48" s="431" t="s">
        <v>123</v>
      </c>
      <c r="C48" s="459">
        <f>SUM(C49)</f>
        <v>1301</v>
      </c>
      <c r="D48" s="526">
        <f>SUM(D49)</f>
        <v>1295.29475</v>
      </c>
      <c r="E48" s="542">
        <f t="shared" si="1"/>
        <v>99.561471944657953</v>
      </c>
      <c r="F48" s="459">
        <f>SUM(F49)</f>
        <v>468.51413000000002</v>
      </c>
      <c r="G48" s="542">
        <f t="shared" si="2"/>
        <v>276.46866274876277</v>
      </c>
    </row>
    <row r="49" spans="1:9" s="15" customFormat="1" ht="26.25">
      <c r="A49" s="348">
        <v>1120100001</v>
      </c>
      <c r="B49" s="430" t="s">
        <v>233</v>
      </c>
      <c r="C49" s="540">
        <v>1301</v>
      </c>
      <c r="D49" s="454">
        <v>1295.29475</v>
      </c>
      <c r="E49" s="452">
        <f t="shared" si="1"/>
        <v>99.561471944657953</v>
      </c>
      <c r="F49" s="454">
        <v>468.51413000000002</v>
      </c>
      <c r="G49" s="452">
        <f t="shared" si="2"/>
        <v>276.46866274876277</v>
      </c>
    </row>
    <row r="50" spans="1:9" s="182" customFormat="1" ht="33.75" customHeight="1">
      <c r="A50" s="350">
        <v>1130000</v>
      </c>
      <c r="B50" s="435" t="s">
        <v>124</v>
      </c>
      <c r="C50" s="538">
        <f>SUM(C51:C52)</f>
        <v>5676.9</v>
      </c>
      <c r="D50" s="451">
        <f>SUM(D51:D52)</f>
        <v>5772.0849099999996</v>
      </c>
      <c r="E50" s="542">
        <f t="shared" si="1"/>
        <v>101.67670577251668</v>
      </c>
      <c r="F50" s="450">
        <f>SUM(F51:F52)</f>
        <v>1233.36437</v>
      </c>
      <c r="G50" s="542">
        <f t="shared" si="2"/>
        <v>467.99510756095532</v>
      </c>
    </row>
    <row r="51" spans="1:9" s="15" customFormat="1" ht="27.75" customHeight="1">
      <c r="A51" s="348">
        <v>1130200000</v>
      </c>
      <c r="B51" s="430" t="s">
        <v>307</v>
      </c>
      <c r="C51" s="540">
        <v>1150</v>
      </c>
      <c r="D51" s="456">
        <v>1245.1849099999999</v>
      </c>
      <c r="E51" s="452">
        <f t="shared" si="1"/>
        <v>108.27694869565217</v>
      </c>
      <c r="F51" s="456">
        <v>1233.36437</v>
      </c>
      <c r="G51" s="452">
        <f t="shared" si="2"/>
        <v>100.95839804420488</v>
      </c>
    </row>
    <row r="52" spans="1:9" ht="25.5" customHeight="1">
      <c r="A52" s="348">
        <v>1130100000</v>
      </c>
      <c r="B52" s="430" t="s">
        <v>215</v>
      </c>
      <c r="C52" s="540">
        <v>4526.8999999999996</v>
      </c>
      <c r="D52" s="454">
        <v>4526.8999999999996</v>
      </c>
      <c r="E52" s="452">
        <f t="shared" si="1"/>
        <v>100</v>
      </c>
      <c r="F52" s="454">
        <v>0</v>
      </c>
      <c r="G52" s="452"/>
    </row>
    <row r="53" spans="1:9" ht="27.75" customHeight="1">
      <c r="A53" s="351">
        <v>1140000</v>
      </c>
      <c r="B53" s="436" t="s">
        <v>125</v>
      </c>
      <c r="C53" s="538">
        <f>SUM(C54:C56)</f>
        <v>13850</v>
      </c>
      <c r="D53" s="451">
        <f>SUM(D54:D56)</f>
        <v>13942.352839999998</v>
      </c>
      <c r="E53" s="542">
        <f t="shared" si="1"/>
        <v>100.66680750902526</v>
      </c>
      <c r="F53" s="450">
        <f>SUM(F54:F56)</f>
        <v>15925.08196</v>
      </c>
      <c r="G53" s="542">
        <f t="shared" si="2"/>
        <v>87.549645741352265</v>
      </c>
    </row>
    <row r="54" spans="1:9" ht="26.25">
      <c r="A54" s="349">
        <v>1140200000</v>
      </c>
      <c r="B54" s="434" t="s">
        <v>213</v>
      </c>
      <c r="C54" s="540">
        <v>1700</v>
      </c>
      <c r="D54" s="454">
        <v>1719.63734</v>
      </c>
      <c r="E54" s="452">
        <f t="shared" si="1"/>
        <v>101.15513764705881</v>
      </c>
      <c r="F54" s="454">
        <v>396</v>
      </c>
      <c r="G54" s="452"/>
    </row>
    <row r="55" spans="1:9" ht="40.5" customHeight="1">
      <c r="A55" s="348">
        <v>1140601000</v>
      </c>
      <c r="B55" s="430" t="s">
        <v>532</v>
      </c>
      <c r="C55" s="540">
        <v>12000</v>
      </c>
      <c r="D55" s="454">
        <v>12087.937389999999</v>
      </c>
      <c r="E55" s="452">
        <f t="shared" si="1"/>
        <v>100.73281158333333</v>
      </c>
      <c r="F55" s="454">
        <v>15205.3964</v>
      </c>
      <c r="G55" s="452">
        <f t="shared" si="2"/>
        <v>79.497680113094589</v>
      </c>
    </row>
    <row r="56" spans="1:9" ht="33.75" customHeight="1">
      <c r="A56" s="348">
        <v>1140602000</v>
      </c>
      <c r="B56" s="430" t="s">
        <v>533</v>
      </c>
      <c r="C56" s="540">
        <v>150</v>
      </c>
      <c r="D56" s="454">
        <v>134.77811</v>
      </c>
      <c r="E56" s="452">
        <f t="shared" si="1"/>
        <v>89.852073333333323</v>
      </c>
      <c r="F56" s="454">
        <v>323.68556000000001</v>
      </c>
      <c r="G56" s="452">
        <f t="shared" si="2"/>
        <v>41.638592095365631</v>
      </c>
    </row>
    <row r="57" spans="1:9" ht="28.5" customHeight="1">
      <c r="A57" s="347">
        <v>1150000000</v>
      </c>
      <c r="B57" s="431" t="s">
        <v>226</v>
      </c>
      <c r="C57" s="538">
        <v>0</v>
      </c>
      <c r="D57" s="451">
        <v>0</v>
      </c>
      <c r="E57" s="452"/>
      <c r="F57" s="450">
        <v>0</v>
      </c>
      <c r="G57" s="452"/>
    </row>
    <row r="58" spans="1:9" ht="37.5" customHeight="1">
      <c r="A58" s="348">
        <v>1150205005</v>
      </c>
      <c r="B58" s="430" t="s">
        <v>227</v>
      </c>
      <c r="C58" s="540">
        <v>0</v>
      </c>
      <c r="D58" s="454">
        <v>0</v>
      </c>
      <c r="E58" s="452"/>
      <c r="F58" s="455">
        <v>0</v>
      </c>
      <c r="G58" s="452"/>
    </row>
    <row r="59" spans="1:9" ht="25.5">
      <c r="A59" s="347">
        <v>1160000</v>
      </c>
      <c r="B59" s="431" t="s">
        <v>127</v>
      </c>
      <c r="C59" s="538">
        <f>SUM(C60:C64)</f>
        <v>9549</v>
      </c>
      <c r="D59" s="451">
        <f>SUM(D60:D64)</f>
        <v>9840.13177</v>
      </c>
      <c r="E59" s="542">
        <f t="shared" si="1"/>
        <v>103.04881945753482</v>
      </c>
      <c r="F59" s="450">
        <f>SUM(F60:F64)</f>
        <v>2908.72102</v>
      </c>
      <c r="G59" s="542">
        <f t="shared" si="2"/>
        <v>338.2975439150228</v>
      </c>
      <c r="I59" s="147"/>
    </row>
    <row r="60" spans="1:9" ht="36.75" customHeight="1">
      <c r="A60" s="348">
        <v>1160100001</v>
      </c>
      <c r="B60" s="430" t="s">
        <v>434</v>
      </c>
      <c r="C60" s="540">
        <v>1284</v>
      </c>
      <c r="D60" s="460">
        <v>1384.08194</v>
      </c>
      <c r="E60" s="452">
        <f t="shared" si="1"/>
        <v>107.79454361370718</v>
      </c>
      <c r="F60" s="460">
        <v>1033.34167</v>
      </c>
      <c r="G60" s="452">
        <f t="shared" si="2"/>
        <v>133.94233293621073</v>
      </c>
    </row>
    <row r="61" spans="1:9" ht="39.75" customHeight="1">
      <c r="A61" s="348">
        <v>1160700000</v>
      </c>
      <c r="B61" s="430" t="s">
        <v>435</v>
      </c>
      <c r="C61" s="453">
        <v>7452</v>
      </c>
      <c r="D61" s="461">
        <v>7625.6538300000002</v>
      </c>
      <c r="E61" s="452">
        <f t="shared" si="1"/>
        <v>102.33029830917874</v>
      </c>
      <c r="F61" s="461">
        <v>1465.2403899999999</v>
      </c>
      <c r="G61" s="452">
        <f t="shared" si="2"/>
        <v>520.43704787580975</v>
      </c>
    </row>
    <row r="62" spans="1:9" ht="39.75" customHeight="1">
      <c r="A62" s="348">
        <v>11610060000</v>
      </c>
      <c r="B62" s="430" t="s">
        <v>463</v>
      </c>
      <c r="C62" s="453">
        <v>45</v>
      </c>
      <c r="D62" s="461">
        <v>48.097000000000001</v>
      </c>
      <c r="E62" s="452">
        <f t="shared" si="1"/>
        <v>106.88222222222224</v>
      </c>
      <c r="F62" s="461">
        <v>13.24455</v>
      </c>
      <c r="G62" s="452">
        <f t="shared" si="2"/>
        <v>363.14559573560445</v>
      </c>
    </row>
    <row r="63" spans="1:9" ht="41.25" customHeight="1">
      <c r="A63" s="348">
        <v>1161012000</v>
      </c>
      <c r="B63" s="430" t="s">
        <v>392</v>
      </c>
      <c r="C63" s="462">
        <v>0</v>
      </c>
      <c r="D63" s="461"/>
      <c r="E63" s="452"/>
      <c r="F63" s="461">
        <v>-0.20458999999999999</v>
      </c>
      <c r="G63" s="452">
        <f t="shared" si="2"/>
        <v>0</v>
      </c>
    </row>
    <row r="64" spans="1:9" ht="41.25" customHeight="1">
      <c r="A64" s="348">
        <v>1161100001</v>
      </c>
      <c r="B64" s="430" t="s">
        <v>393</v>
      </c>
      <c r="C64" s="462">
        <v>768</v>
      </c>
      <c r="D64" s="461">
        <v>782.29899999999998</v>
      </c>
      <c r="E64" s="452">
        <f t="shared" si="1"/>
        <v>101.86184895833333</v>
      </c>
      <c r="F64" s="461">
        <v>397.09899999999999</v>
      </c>
      <c r="G64" s="452">
        <f t="shared" si="2"/>
        <v>197.00351801439945</v>
      </c>
    </row>
    <row r="65" spans="1:9" ht="25.5" customHeight="1">
      <c r="A65" s="347">
        <v>1170000</v>
      </c>
      <c r="B65" s="431" t="s">
        <v>128</v>
      </c>
      <c r="C65" s="538">
        <f>SUM(C66:C67)</f>
        <v>8616.2480800000012</v>
      </c>
      <c r="D65" s="451">
        <f>SUM(D66:D67)</f>
        <v>8229.2352300000002</v>
      </c>
      <c r="E65" s="542">
        <f t="shared" si="1"/>
        <v>95.508336733034255</v>
      </c>
      <c r="F65" s="450">
        <f>SUM(F66:F67)</f>
        <v>11222.86212</v>
      </c>
      <c r="G65" s="542">
        <f t="shared" si="2"/>
        <v>73.325637809760423</v>
      </c>
    </row>
    <row r="66" spans="1:9" ht="26.25">
      <c r="A66" s="348">
        <v>1170500000</v>
      </c>
      <c r="B66" s="430" t="s">
        <v>563</v>
      </c>
      <c r="C66" s="453">
        <v>1190</v>
      </c>
      <c r="D66" s="456">
        <v>1189.48362</v>
      </c>
      <c r="E66" s="452">
        <f t="shared" si="1"/>
        <v>99.956606722689074</v>
      </c>
      <c r="F66" s="456">
        <v>0</v>
      </c>
      <c r="G66" s="452"/>
    </row>
    <row r="67" spans="1:9" ht="26.25">
      <c r="A67" s="348">
        <v>1171500000</v>
      </c>
      <c r="B67" s="432" t="s">
        <v>406</v>
      </c>
      <c r="C67" s="453">
        <v>7426.2480800000003</v>
      </c>
      <c r="D67" s="454">
        <v>7039.7516100000003</v>
      </c>
      <c r="E67" s="452">
        <f t="shared" si="1"/>
        <v>94.795535163430728</v>
      </c>
      <c r="F67" s="454">
        <v>11222.86212</v>
      </c>
      <c r="G67" s="452">
        <f t="shared" si="2"/>
        <v>62.726883166947431</v>
      </c>
    </row>
    <row r="68" spans="1:9" s="6" customFormat="1" ht="25.5">
      <c r="A68" s="347">
        <v>100000</v>
      </c>
      <c r="B68" s="429" t="s">
        <v>16</v>
      </c>
      <c r="C68" s="463">
        <f>SUM(C5+C37)</f>
        <v>383993.44808</v>
      </c>
      <c r="D68" s="463">
        <f>SUM(D5+D37)</f>
        <v>392387.96075000009</v>
      </c>
      <c r="E68" s="542">
        <f t="shared" si="1"/>
        <v>102.18610830783008</v>
      </c>
      <c r="F68" s="463">
        <f t="shared" ref="F68" si="3">SUM(F5+F37)</f>
        <v>285420.32270999998</v>
      </c>
      <c r="G68" s="542">
        <f t="shared" si="2"/>
        <v>137.47723253353757</v>
      </c>
      <c r="H68" s="93"/>
      <c r="I68" s="93"/>
    </row>
    <row r="69" spans="1:9" s="6" customFormat="1" ht="28.5" customHeight="1">
      <c r="A69" s="347">
        <v>200000</v>
      </c>
      <c r="B69" s="429" t="s">
        <v>17</v>
      </c>
      <c r="C69" s="450">
        <f>C70+C72+C73+C74+C77+C71+C76</f>
        <v>1107342.3839699998</v>
      </c>
      <c r="D69" s="451">
        <f>SUM(D70+D71+D72+D73+D74+D75+D76+D77)</f>
        <v>1089111.3033699999</v>
      </c>
      <c r="E69" s="542">
        <f t="shared" si="1"/>
        <v>98.353618459483272</v>
      </c>
      <c r="F69" s="450">
        <f>SUM(F70+F72+F73+F74+F75+F76+F77)</f>
        <v>916728.33837999997</v>
      </c>
      <c r="G69" s="542">
        <f t="shared" si="2"/>
        <v>118.8041492526158</v>
      </c>
      <c r="H69" s="93"/>
      <c r="I69" s="93"/>
    </row>
    <row r="70" spans="1:9" ht="25.5" customHeight="1">
      <c r="A70" s="349">
        <v>2021000000</v>
      </c>
      <c r="B70" s="433" t="s">
        <v>18</v>
      </c>
      <c r="C70" s="457">
        <v>125473.8</v>
      </c>
      <c r="D70" s="464">
        <v>125473.8</v>
      </c>
      <c r="E70" s="452">
        <f t="shared" ref="E70:E78" si="4">SUM(D70/C70*100)</f>
        <v>100</v>
      </c>
      <c r="F70" s="464">
        <v>116188.5</v>
      </c>
      <c r="G70" s="452">
        <f t="shared" ref="G70:G77" si="5">SUM(D70/F70*100)</f>
        <v>107.9915826437212</v>
      </c>
    </row>
    <row r="71" spans="1:9" ht="32.25" customHeight="1">
      <c r="A71" s="349">
        <v>2021500200</v>
      </c>
      <c r="B71" s="433" t="s">
        <v>223</v>
      </c>
      <c r="C71" s="457"/>
      <c r="D71" s="464"/>
      <c r="E71" s="452"/>
      <c r="F71" s="464"/>
      <c r="G71" s="452"/>
    </row>
    <row r="72" spans="1:9" ht="26.25">
      <c r="A72" s="349">
        <v>2022000000</v>
      </c>
      <c r="B72" s="433" t="s">
        <v>19</v>
      </c>
      <c r="C72" s="457">
        <v>357758.83428000001</v>
      </c>
      <c r="D72" s="454">
        <v>353416.66005000001</v>
      </c>
      <c r="E72" s="452">
        <f t="shared" si="4"/>
        <v>98.786284554303521</v>
      </c>
      <c r="F72" s="454">
        <v>306333.14687</v>
      </c>
      <c r="G72" s="452">
        <f t="shared" si="5"/>
        <v>115.37003542094028</v>
      </c>
    </row>
    <row r="73" spans="1:9" ht="26.25">
      <c r="A73" s="349">
        <v>2023000000</v>
      </c>
      <c r="B73" s="433" t="s">
        <v>20</v>
      </c>
      <c r="C73" s="457">
        <v>569981.97462999995</v>
      </c>
      <c r="D73" s="465">
        <v>569859.99676999997</v>
      </c>
      <c r="E73" s="452">
        <f t="shared" si="4"/>
        <v>99.978599698687106</v>
      </c>
      <c r="F73" s="465">
        <v>487967.93974</v>
      </c>
      <c r="G73" s="452">
        <f t="shared" si="5"/>
        <v>116.78226177597526</v>
      </c>
    </row>
    <row r="74" spans="1:9" ht="24" customHeight="1">
      <c r="A74" s="349">
        <v>2024000000</v>
      </c>
      <c r="B74" s="434" t="s">
        <v>21</v>
      </c>
      <c r="C74" s="457">
        <v>54127.77506</v>
      </c>
      <c r="D74" s="466">
        <v>54127.77506</v>
      </c>
      <c r="E74" s="452">
        <f t="shared" si="4"/>
        <v>100</v>
      </c>
      <c r="F74" s="466">
        <v>31257.149399999998</v>
      </c>
      <c r="G74" s="452">
        <f t="shared" si="5"/>
        <v>173.16926238961508</v>
      </c>
    </row>
    <row r="75" spans="1:9" ht="18" customHeight="1">
      <c r="A75" s="349">
        <v>207000000</v>
      </c>
      <c r="B75" s="434" t="s">
        <v>281</v>
      </c>
      <c r="C75" s="457"/>
      <c r="D75" s="466"/>
      <c r="E75" s="452"/>
      <c r="F75" s="466"/>
      <c r="G75" s="452"/>
    </row>
    <row r="76" spans="1:9" ht="24" customHeight="1">
      <c r="A76" s="349">
        <v>208000000</v>
      </c>
      <c r="B76" s="434" t="s">
        <v>559</v>
      </c>
      <c r="C76" s="457">
        <v>0</v>
      </c>
      <c r="D76" s="466"/>
      <c r="E76" s="452"/>
      <c r="F76" s="466">
        <v>0</v>
      </c>
      <c r="G76" s="452"/>
    </row>
    <row r="77" spans="1:9" ht="23.25" customHeight="1">
      <c r="A77" s="348">
        <v>2196001005</v>
      </c>
      <c r="B77" s="432" t="s">
        <v>23</v>
      </c>
      <c r="C77" s="455"/>
      <c r="D77" s="454">
        <v>-13766.92851</v>
      </c>
      <c r="E77" s="452"/>
      <c r="F77" s="454">
        <v>-25018.397629999999</v>
      </c>
      <c r="G77" s="452">
        <f t="shared" si="5"/>
        <v>55.02721922323208</v>
      </c>
    </row>
    <row r="78" spans="1:9" s="6" customFormat="1" ht="38.25" customHeight="1">
      <c r="A78" s="556"/>
      <c r="B78" s="557" t="s">
        <v>25</v>
      </c>
      <c r="C78" s="558">
        <f>C68+C69</f>
        <v>1491335.8320499999</v>
      </c>
      <c r="D78" s="559">
        <f>D68+D69</f>
        <v>1481499.2641199999</v>
      </c>
      <c r="E78" s="560">
        <f t="shared" si="4"/>
        <v>99.340418990907068</v>
      </c>
      <c r="F78" s="558">
        <f>F68+F69</f>
        <v>1202148.6610900001</v>
      </c>
      <c r="G78" s="560">
        <f t="shared" ref="G78" si="6">SUM(D78/F78*100)</f>
        <v>123.23760879762658</v>
      </c>
      <c r="H78" s="205"/>
      <c r="I78" s="93"/>
    </row>
    <row r="79" spans="1:9" s="6" customFormat="1" ht="26.25">
      <c r="A79" s="347"/>
      <c r="B79" s="437" t="s">
        <v>299</v>
      </c>
      <c r="C79" s="528">
        <f>C78-C200</f>
        <v>-123596.03885999974</v>
      </c>
      <c r="D79" s="451">
        <f>D78-D200</f>
        <v>51276.873449999839</v>
      </c>
      <c r="E79" s="467"/>
      <c r="F79" s="450">
        <f>F78-F200</f>
        <v>-10623.3753800001</v>
      </c>
      <c r="G79" s="467"/>
      <c r="H79" s="93"/>
      <c r="I79" s="93"/>
    </row>
    <row r="80" spans="1:9" ht="26.25">
      <c r="A80" s="352"/>
      <c r="B80" s="438"/>
      <c r="C80" s="468"/>
      <c r="D80" s="469"/>
      <c r="E80" s="470"/>
      <c r="F80" s="471"/>
      <c r="G80" s="470"/>
    </row>
    <row r="81" spans="1:7" ht="60.75">
      <c r="A81" s="493" t="s">
        <v>442</v>
      </c>
      <c r="B81" s="494" t="s">
        <v>443</v>
      </c>
      <c r="C81" s="561" t="s">
        <v>446</v>
      </c>
      <c r="D81" s="496" t="s">
        <v>561</v>
      </c>
      <c r="E81" s="562" t="s">
        <v>308</v>
      </c>
      <c r="F81" s="495" t="s">
        <v>562</v>
      </c>
      <c r="G81" s="562" t="s">
        <v>448</v>
      </c>
    </row>
    <row r="82" spans="1:7" s="6" customFormat="1" ht="36" customHeight="1">
      <c r="A82" s="353" t="s">
        <v>27</v>
      </c>
      <c r="B82" s="439" t="s">
        <v>28</v>
      </c>
      <c r="C82" s="472">
        <f>SUM(C83+C84+C85+C86+C87+C88+C89)</f>
        <v>170624.61222000001</v>
      </c>
      <c r="D82" s="473">
        <f>SUM(D83:D89)</f>
        <v>140832.45069999999</v>
      </c>
      <c r="E82" s="543">
        <f t="shared" ref="E82:E155" si="7">SUM(D82/C82*100)</f>
        <v>82.539352832880525</v>
      </c>
      <c r="F82" s="472">
        <f>SUM(F83:F89)</f>
        <v>108592.59393999999</v>
      </c>
      <c r="G82" s="543">
        <f>SUM(D82/F82*100)</f>
        <v>129.6888172482677</v>
      </c>
    </row>
    <row r="83" spans="1:7" s="6" customFormat="1" ht="40.5">
      <c r="A83" s="354" t="s">
        <v>29</v>
      </c>
      <c r="B83" s="440" t="s">
        <v>30</v>
      </c>
      <c r="C83" s="475">
        <v>50</v>
      </c>
      <c r="D83" s="476">
        <v>49.999899999999997</v>
      </c>
      <c r="E83" s="564">
        <f t="shared" si="7"/>
        <v>99.999799999999993</v>
      </c>
      <c r="F83" s="476">
        <v>50</v>
      </c>
      <c r="G83" s="564">
        <f t="shared" ref="G83:G200" si="8">SUM(D83/F83*100)</f>
        <v>99.999799999999993</v>
      </c>
    </row>
    <row r="84" spans="1:7" ht="29.25" customHeight="1">
      <c r="A84" s="354" t="s">
        <v>31</v>
      </c>
      <c r="B84" s="441" t="s">
        <v>32</v>
      </c>
      <c r="C84" s="475">
        <v>83034.477880000006</v>
      </c>
      <c r="D84" s="476">
        <v>82290.280629999994</v>
      </c>
      <c r="E84" s="564">
        <f t="shared" si="7"/>
        <v>99.103749106394673</v>
      </c>
      <c r="F84" s="476">
        <v>68886.730559999996</v>
      </c>
      <c r="G84" s="564">
        <f t="shared" si="8"/>
        <v>119.45737584152812</v>
      </c>
    </row>
    <row r="85" spans="1:7" ht="29.25" customHeight="1">
      <c r="A85" s="354" t="s">
        <v>33</v>
      </c>
      <c r="B85" s="441" t="s">
        <v>34</v>
      </c>
      <c r="C85" s="475">
        <v>8.1</v>
      </c>
      <c r="D85" s="476">
        <v>8.1</v>
      </c>
      <c r="E85" s="564">
        <f t="shared" si="7"/>
        <v>100</v>
      </c>
      <c r="F85" s="476">
        <v>3.9</v>
      </c>
      <c r="G85" s="564">
        <f t="shared" si="8"/>
        <v>207.69230769230771</v>
      </c>
    </row>
    <row r="86" spans="1:7" ht="38.25" customHeight="1">
      <c r="A86" s="354" t="s">
        <v>35</v>
      </c>
      <c r="B86" s="441" t="s">
        <v>36</v>
      </c>
      <c r="C86" s="475">
        <v>8611.7415000000001</v>
      </c>
      <c r="D86" s="476">
        <v>8586.6925499999998</v>
      </c>
      <c r="E86" s="564">
        <f t="shared" si="7"/>
        <v>99.709130261283391</v>
      </c>
      <c r="F86" s="476">
        <v>7224.6938</v>
      </c>
      <c r="G86" s="564">
        <f t="shared" si="8"/>
        <v>118.85199273081994</v>
      </c>
    </row>
    <row r="87" spans="1:7" ht="25.5" customHeight="1">
      <c r="A87" s="354" t="s">
        <v>37</v>
      </c>
      <c r="B87" s="441" t="s">
        <v>38</v>
      </c>
      <c r="C87" s="475">
        <v>304.68099999999998</v>
      </c>
      <c r="D87" s="476">
        <v>304.68099999999998</v>
      </c>
      <c r="E87" s="564">
        <f t="shared" si="7"/>
        <v>100</v>
      </c>
      <c r="F87" s="476">
        <v>370.565</v>
      </c>
      <c r="G87" s="564">
        <f t="shared" si="8"/>
        <v>82.220663041571655</v>
      </c>
    </row>
    <row r="88" spans="1:7" ht="24.75" customHeight="1">
      <c r="A88" s="354" t="s">
        <v>39</v>
      </c>
      <c r="B88" s="441" t="s">
        <v>40</v>
      </c>
      <c r="C88" s="475">
        <v>28581.849099999999</v>
      </c>
      <c r="D88" s="476"/>
      <c r="E88" s="564">
        <f t="shared" si="7"/>
        <v>0</v>
      </c>
      <c r="F88" s="476">
        <v>0</v>
      </c>
      <c r="G88" s="564"/>
    </row>
    <row r="89" spans="1:7" ht="24" customHeight="1">
      <c r="A89" s="354" t="s">
        <v>41</v>
      </c>
      <c r="B89" s="441" t="s">
        <v>42</v>
      </c>
      <c r="C89" s="475">
        <v>50033.762739999998</v>
      </c>
      <c r="D89" s="476">
        <v>49592.696620000002</v>
      </c>
      <c r="E89" s="564">
        <f t="shared" si="7"/>
        <v>99.11846302207573</v>
      </c>
      <c r="F89" s="476">
        <v>32056.704580000001</v>
      </c>
      <c r="G89" s="564">
        <f t="shared" si="8"/>
        <v>154.70304034601426</v>
      </c>
    </row>
    <row r="90" spans="1:7" ht="49.5" customHeight="1">
      <c r="A90" s="513" t="s">
        <v>500</v>
      </c>
      <c r="B90" s="506" t="s">
        <v>501</v>
      </c>
      <c r="C90" s="509">
        <v>1290.0785599999999</v>
      </c>
      <c r="D90" s="510">
        <v>1288.3920000000001</v>
      </c>
      <c r="E90" s="564">
        <f t="shared" si="7"/>
        <v>99.869266876274594</v>
      </c>
      <c r="F90" s="510">
        <v>788.47</v>
      </c>
      <c r="G90" s="564">
        <f t="shared" si="8"/>
        <v>163.40406102958895</v>
      </c>
    </row>
    <row r="91" spans="1:7" s="6" customFormat="1" ht="25.5">
      <c r="A91" s="355" t="s">
        <v>43</v>
      </c>
      <c r="B91" s="442" t="s">
        <v>44</v>
      </c>
      <c r="C91" s="472">
        <f>C92</f>
        <v>2138.1</v>
      </c>
      <c r="D91" s="473">
        <f>D92</f>
        <v>2138.1</v>
      </c>
      <c r="E91" s="565">
        <f t="shared" si="7"/>
        <v>100</v>
      </c>
      <c r="F91" s="472">
        <f>SUM(F92)</f>
        <v>1788.6</v>
      </c>
      <c r="G91" s="565">
        <f t="shared" si="8"/>
        <v>119.54042267695404</v>
      </c>
    </row>
    <row r="92" spans="1:7" ht="26.25">
      <c r="A92" s="356" t="s">
        <v>45</v>
      </c>
      <c r="B92" s="443" t="s">
        <v>554</v>
      </c>
      <c r="C92" s="475">
        <v>2138.1</v>
      </c>
      <c r="D92" s="476">
        <v>2138.1</v>
      </c>
      <c r="E92" s="564">
        <f t="shared" si="7"/>
        <v>100</v>
      </c>
      <c r="F92" s="476">
        <v>1788.6</v>
      </c>
      <c r="G92" s="564">
        <f t="shared" si="8"/>
        <v>119.54042267695404</v>
      </c>
    </row>
    <row r="93" spans="1:7" s="6" customFormat="1" ht="32.25" customHeight="1">
      <c r="A93" s="353" t="s">
        <v>47</v>
      </c>
      <c r="B93" s="439" t="s">
        <v>48</v>
      </c>
      <c r="C93" s="472">
        <f>SUM(C94:C97)</f>
        <v>35121.045050000001</v>
      </c>
      <c r="D93" s="473">
        <f>SUM(D94:D97)</f>
        <v>32879.68</v>
      </c>
      <c r="E93" s="565">
        <f t="shared" si="7"/>
        <v>93.61817096612846</v>
      </c>
      <c r="F93" s="472">
        <f>SUM(F94:F97)</f>
        <v>7366.4482900000003</v>
      </c>
      <c r="G93" s="565">
        <f t="shared" si="8"/>
        <v>446.34372910259037</v>
      </c>
    </row>
    <row r="94" spans="1:7" ht="26.25">
      <c r="A94" s="357" t="s">
        <v>51</v>
      </c>
      <c r="B94" s="441" t="s">
        <v>304</v>
      </c>
      <c r="C94" s="475">
        <v>1586.6</v>
      </c>
      <c r="D94" s="476">
        <v>1586.6</v>
      </c>
      <c r="E94" s="564">
        <f t="shared" si="7"/>
        <v>100</v>
      </c>
      <c r="F94" s="476">
        <v>1410.2</v>
      </c>
      <c r="G94" s="564">
        <f t="shared" si="8"/>
        <v>112.50886399092326</v>
      </c>
    </row>
    <row r="95" spans="1:7" ht="36.75" customHeight="1">
      <c r="A95" s="358" t="s">
        <v>53</v>
      </c>
      <c r="B95" s="444" t="s">
        <v>54</v>
      </c>
      <c r="C95" s="475">
        <v>4008.4797600000002</v>
      </c>
      <c r="D95" s="476">
        <v>4007.3715900000002</v>
      </c>
      <c r="E95" s="564">
        <f t="shared" si="7"/>
        <v>99.972354357104194</v>
      </c>
      <c r="F95" s="476">
        <v>3688.5411899999999</v>
      </c>
      <c r="G95" s="564">
        <f t="shared" si="8"/>
        <v>108.64380749940874</v>
      </c>
    </row>
    <row r="96" spans="1:7" ht="21" customHeight="1">
      <c r="A96" s="358" t="s">
        <v>210</v>
      </c>
      <c r="B96" s="444" t="s">
        <v>211</v>
      </c>
      <c r="C96" s="475">
        <v>27537.96529</v>
      </c>
      <c r="D96" s="476">
        <v>25305.63551</v>
      </c>
      <c r="E96" s="564">
        <f t="shared" si="7"/>
        <v>91.893628463499311</v>
      </c>
      <c r="F96" s="476">
        <v>990.10709999999995</v>
      </c>
      <c r="G96" s="564">
        <f t="shared" si="8"/>
        <v>2555.8483026735189</v>
      </c>
    </row>
    <row r="97" spans="1:8" ht="27" customHeight="1">
      <c r="A97" s="358" t="s">
        <v>330</v>
      </c>
      <c r="B97" s="444" t="s">
        <v>331</v>
      </c>
      <c r="C97" s="479">
        <v>1988</v>
      </c>
      <c r="D97" s="476">
        <v>1980.0728999999999</v>
      </c>
      <c r="E97" s="564">
        <f t="shared" si="7"/>
        <v>99.601252515090536</v>
      </c>
      <c r="F97" s="476">
        <v>1277.5999999999999</v>
      </c>
      <c r="G97" s="564">
        <f t="shared" si="8"/>
        <v>154.98378991859738</v>
      </c>
    </row>
    <row r="98" spans="1:8" s="6" customFormat="1" ht="27" customHeight="1">
      <c r="A98" s="353" t="s">
        <v>55</v>
      </c>
      <c r="B98" s="439" t="s">
        <v>56</v>
      </c>
      <c r="C98" s="480">
        <f>SUM(C99+C101+C105+C106+C116)</f>
        <v>184743.08710999999</v>
      </c>
      <c r="D98" s="481">
        <f>SUM(D99+D101+D105+D106+D116)</f>
        <v>161316.53296000001</v>
      </c>
      <c r="E98" s="565">
        <f t="shared" si="7"/>
        <v>87.319387958451017</v>
      </c>
      <c r="F98" s="480">
        <f>SUM(F99+F101+F105+F106+F116)</f>
        <v>124360.54857</v>
      </c>
      <c r="G98" s="565">
        <f t="shared" si="8"/>
        <v>129.71680715061999</v>
      </c>
    </row>
    <row r="99" spans="1:8" ht="27" customHeight="1">
      <c r="A99" s="353" t="s">
        <v>387</v>
      </c>
      <c r="B99" s="516" t="s">
        <v>388</v>
      </c>
      <c r="C99" s="482">
        <v>250</v>
      </c>
      <c r="D99" s="483">
        <v>250</v>
      </c>
      <c r="E99" s="564">
        <f t="shared" si="7"/>
        <v>100</v>
      </c>
      <c r="F99" s="483">
        <v>250</v>
      </c>
      <c r="G99" s="564">
        <f t="shared" si="8"/>
        <v>100</v>
      </c>
    </row>
    <row r="100" spans="1:8" ht="68.25" customHeight="1">
      <c r="A100" s="354"/>
      <c r="B100" s="507" t="s">
        <v>492</v>
      </c>
      <c r="C100" s="512">
        <v>250</v>
      </c>
      <c r="D100" s="566">
        <v>250</v>
      </c>
      <c r="E100" s="564">
        <f t="shared" si="7"/>
        <v>100</v>
      </c>
      <c r="F100" s="566">
        <v>250</v>
      </c>
      <c r="G100" s="564">
        <f t="shared" si="8"/>
        <v>100</v>
      </c>
    </row>
    <row r="101" spans="1:8" s="6" customFormat="1" ht="30" customHeight="1">
      <c r="A101" s="353" t="s">
        <v>57</v>
      </c>
      <c r="B101" s="515" t="s">
        <v>302</v>
      </c>
      <c r="C101" s="482">
        <v>1138.43705</v>
      </c>
      <c r="D101" s="476">
        <v>1068.0507600000001</v>
      </c>
      <c r="E101" s="564">
        <f t="shared" si="7"/>
        <v>93.817287481991215</v>
      </c>
      <c r="F101" s="476">
        <v>1221.15689</v>
      </c>
      <c r="G101" s="564">
        <f t="shared" si="8"/>
        <v>87.462206432786871</v>
      </c>
      <c r="H101" s="50"/>
    </row>
    <row r="102" spans="1:8" s="6" customFormat="1" ht="63.75" customHeight="1">
      <c r="A102" s="501" t="s">
        <v>504</v>
      </c>
      <c r="B102" s="506" t="s">
        <v>531</v>
      </c>
      <c r="C102" s="512">
        <v>607.4</v>
      </c>
      <c r="D102" s="510">
        <v>543.32489999999996</v>
      </c>
      <c r="E102" s="564">
        <f t="shared" si="7"/>
        <v>89.450921962462942</v>
      </c>
      <c r="F102" s="476">
        <v>534.68010000000004</v>
      </c>
      <c r="G102" s="564">
        <f t="shared" si="8"/>
        <v>101.61681723333258</v>
      </c>
      <c r="H102" s="50"/>
    </row>
    <row r="103" spans="1:8" s="6" customFormat="1" ht="40.5" customHeight="1">
      <c r="A103" s="501" t="s">
        <v>504</v>
      </c>
      <c r="B103" s="506" t="s">
        <v>502</v>
      </c>
      <c r="C103" s="512">
        <v>343.40300000000002</v>
      </c>
      <c r="D103" s="510">
        <v>337.1</v>
      </c>
      <c r="E103" s="564">
        <f t="shared" si="7"/>
        <v>98.164547193821832</v>
      </c>
      <c r="F103" s="476">
        <v>447</v>
      </c>
      <c r="G103" s="564">
        <f t="shared" si="8"/>
        <v>75.413870246085011</v>
      </c>
      <c r="H103" s="50"/>
    </row>
    <row r="104" spans="1:8" s="6" customFormat="1" ht="38.25" customHeight="1">
      <c r="A104" s="501" t="s">
        <v>504</v>
      </c>
      <c r="B104" s="506" t="s">
        <v>503</v>
      </c>
      <c r="C104" s="512">
        <v>160.63405</v>
      </c>
      <c r="D104" s="510">
        <v>160.62585999999999</v>
      </c>
      <c r="E104" s="564">
        <f t="shared" si="7"/>
        <v>99.994901454579519</v>
      </c>
      <c r="F104" s="476">
        <v>212.47678999999999</v>
      </c>
      <c r="G104" s="564">
        <f t="shared" si="8"/>
        <v>75.59689695989853</v>
      </c>
      <c r="H104" s="50"/>
    </row>
    <row r="105" spans="1:8" s="6" customFormat="1" ht="20.25" customHeight="1">
      <c r="A105" s="354" t="s">
        <v>59</v>
      </c>
      <c r="B105" s="515" t="s">
        <v>383</v>
      </c>
      <c r="C105" s="482">
        <v>2838.0744500000001</v>
      </c>
      <c r="D105" s="476">
        <v>1513.8727699999999</v>
      </c>
      <c r="E105" s="474">
        <f t="shared" si="7"/>
        <v>53.341545356570897</v>
      </c>
      <c r="F105" s="476">
        <v>144.76052000000001</v>
      </c>
      <c r="G105" s="474">
        <f t="shared" si="8"/>
        <v>1045.777377699389</v>
      </c>
      <c r="H105" s="50"/>
    </row>
    <row r="106" spans="1:8" ht="26.25" customHeight="1">
      <c r="A106" s="505" t="s">
        <v>61</v>
      </c>
      <c r="B106" s="504" t="s">
        <v>450</v>
      </c>
      <c r="C106" s="480">
        <v>175142.26407999999</v>
      </c>
      <c r="D106" s="473">
        <v>154621.68150000001</v>
      </c>
      <c r="E106" s="543">
        <f t="shared" si="7"/>
        <v>88.283477613018206</v>
      </c>
      <c r="F106" s="473">
        <v>116528.1851</v>
      </c>
      <c r="G106" s="543">
        <f t="shared" si="8"/>
        <v>132.69037131858667</v>
      </c>
    </row>
    <row r="107" spans="1:8" ht="26.25" customHeight="1">
      <c r="A107" s="501" t="s">
        <v>455</v>
      </c>
      <c r="B107" s="503" t="s">
        <v>466</v>
      </c>
      <c r="C107" s="512">
        <v>62603.110679999998</v>
      </c>
      <c r="D107" s="510">
        <v>44952.868869999998</v>
      </c>
      <c r="E107" s="474">
        <f t="shared" si="7"/>
        <v>71.806126535436249</v>
      </c>
      <c r="F107" s="510">
        <v>22394.904119999999</v>
      </c>
      <c r="G107" s="474">
        <f t="shared" si="8"/>
        <v>200.72811488330674</v>
      </c>
    </row>
    <row r="108" spans="1:8" ht="54" customHeight="1">
      <c r="A108" s="501" t="s">
        <v>456</v>
      </c>
      <c r="B108" s="567" t="s">
        <v>483</v>
      </c>
      <c r="C108" s="544">
        <f>SUM(C109:C115)</f>
        <v>112539.15340000001</v>
      </c>
      <c r="D108" s="545">
        <f>SUM(D109:D115)</f>
        <v>109669.01262999998</v>
      </c>
      <c r="E108" s="543">
        <f t="shared" si="7"/>
        <v>97.449651358404452</v>
      </c>
      <c r="F108" s="488">
        <f>SUM(F109:F115)</f>
        <v>94133.280979999996</v>
      </c>
      <c r="G108" s="543">
        <f t="shared" si="8"/>
        <v>116.50397339629623</v>
      </c>
    </row>
    <row r="109" spans="1:8" ht="78" customHeight="1">
      <c r="A109" s="501"/>
      <c r="B109" s="568" t="s">
        <v>476</v>
      </c>
      <c r="C109" s="525">
        <v>10780.729160000001</v>
      </c>
      <c r="D109" s="521">
        <v>9355.4711900000002</v>
      </c>
      <c r="E109" s="474">
        <f t="shared" si="7"/>
        <v>86.779577254494342</v>
      </c>
      <c r="F109" s="521">
        <v>6674.9661699999997</v>
      </c>
      <c r="G109" s="474">
        <f t="shared" si="8"/>
        <v>140.15758210202284</v>
      </c>
    </row>
    <row r="110" spans="1:8" ht="47.25" customHeight="1">
      <c r="A110" s="501"/>
      <c r="B110" s="568" t="s">
        <v>477</v>
      </c>
      <c r="C110" s="525">
        <v>15017.75243</v>
      </c>
      <c r="D110" s="521">
        <v>14735.54024</v>
      </c>
      <c r="E110" s="474">
        <f t="shared" si="7"/>
        <v>98.120809413289805</v>
      </c>
      <c r="F110" s="521">
        <v>17018.172040000001</v>
      </c>
      <c r="G110" s="474">
        <f t="shared" si="8"/>
        <v>86.587091759121734</v>
      </c>
    </row>
    <row r="111" spans="1:8" ht="60" customHeight="1">
      <c r="A111" s="501"/>
      <c r="B111" s="568" t="s">
        <v>478</v>
      </c>
      <c r="C111" s="525">
        <v>22587.21</v>
      </c>
      <c r="D111" s="521">
        <v>22587.404299999998</v>
      </c>
      <c r="E111" s="474">
        <f t="shared" si="7"/>
        <v>100.00086022133765</v>
      </c>
      <c r="F111" s="521">
        <v>23284.78601</v>
      </c>
      <c r="G111" s="474">
        <f t="shared" si="8"/>
        <v>97.004989825972629</v>
      </c>
    </row>
    <row r="112" spans="1:8" ht="42" customHeight="1">
      <c r="A112" s="501"/>
      <c r="B112" s="568" t="s">
        <v>479</v>
      </c>
      <c r="C112" s="525">
        <v>21885.891189999998</v>
      </c>
      <c r="D112" s="521">
        <v>20724.071749999999</v>
      </c>
      <c r="E112" s="474">
        <f t="shared" si="7"/>
        <v>94.69146844460758</v>
      </c>
      <c r="F112" s="521">
        <v>14502.99314</v>
      </c>
      <c r="G112" s="474">
        <f t="shared" si="8"/>
        <v>142.89513585193626</v>
      </c>
    </row>
    <row r="113" spans="1:7" ht="47.25" customHeight="1">
      <c r="A113" s="501"/>
      <c r="B113" s="568" t="s">
        <v>480</v>
      </c>
      <c r="C113" s="525">
        <v>8791.6206199999997</v>
      </c>
      <c r="D113" s="521">
        <v>8790.6111799999999</v>
      </c>
      <c r="E113" s="474">
        <f t="shared" si="7"/>
        <v>99.988518157872932</v>
      </c>
      <c r="F113" s="521">
        <v>8518.7194999999992</v>
      </c>
      <c r="G113" s="474">
        <f t="shared" si="8"/>
        <v>103.19169659242802</v>
      </c>
    </row>
    <row r="114" spans="1:7" ht="59.25" customHeight="1">
      <c r="A114" s="501"/>
      <c r="B114" s="568" t="s">
        <v>481</v>
      </c>
      <c r="C114" s="525">
        <v>1217.8499999999999</v>
      </c>
      <c r="D114" s="521">
        <v>1217.8494599999999</v>
      </c>
      <c r="E114" s="474">
        <f t="shared" si="7"/>
        <v>99.999955659563994</v>
      </c>
      <c r="F114" s="521">
        <v>1720.7527</v>
      </c>
      <c r="G114" s="474">
        <f t="shared" si="8"/>
        <v>70.774229207950683</v>
      </c>
    </row>
    <row r="115" spans="1:7" ht="54" customHeight="1">
      <c r="A115" s="501"/>
      <c r="B115" s="568" t="s">
        <v>482</v>
      </c>
      <c r="C115" s="525">
        <v>32258.1</v>
      </c>
      <c r="D115" s="521">
        <v>32258.06451</v>
      </c>
      <c r="E115" s="474">
        <f t="shared" si="7"/>
        <v>99.999889981121029</v>
      </c>
      <c r="F115" s="521">
        <v>22412.89142</v>
      </c>
      <c r="G115" s="474">
        <f t="shared" si="8"/>
        <v>143.92638551407393</v>
      </c>
    </row>
    <row r="116" spans="1:7" ht="45" customHeight="1">
      <c r="A116" s="353" t="s">
        <v>63</v>
      </c>
      <c r="B116" s="569" t="s">
        <v>535</v>
      </c>
      <c r="C116" s="524">
        <v>5374.3115299999999</v>
      </c>
      <c r="D116" s="489">
        <v>3862.9279299999998</v>
      </c>
      <c r="E116" s="543">
        <f t="shared" si="7"/>
        <v>71.877633226818176</v>
      </c>
      <c r="F116" s="489">
        <v>6216.4460600000002</v>
      </c>
      <c r="G116" s="543">
        <f t="shared" si="8"/>
        <v>62.140456021265621</v>
      </c>
    </row>
    <row r="117" spans="1:7" ht="62.25" customHeight="1">
      <c r="A117" s="501" t="s">
        <v>494</v>
      </c>
      <c r="B117" s="570" t="s">
        <v>495</v>
      </c>
      <c r="C117" s="525">
        <v>0</v>
      </c>
      <c r="D117" s="521">
        <v>0</v>
      </c>
      <c r="E117" s="474"/>
      <c r="F117" s="521">
        <v>164.77</v>
      </c>
      <c r="G117" s="474"/>
    </row>
    <row r="118" spans="1:7" ht="62.25" customHeight="1">
      <c r="A118" s="501" t="s">
        <v>500</v>
      </c>
      <c r="B118" s="570" t="s">
        <v>496</v>
      </c>
      <c r="C118" s="525">
        <v>1500</v>
      </c>
      <c r="D118" s="521">
        <v>1246.55538</v>
      </c>
      <c r="E118" s="474">
        <f t="shared" si="7"/>
        <v>83.103691999999995</v>
      </c>
      <c r="F118" s="521">
        <v>736.5299</v>
      </c>
      <c r="G118" s="474">
        <f t="shared" si="8"/>
        <v>169.24708419848264</v>
      </c>
    </row>
    <row r="119" spans="1:7" ht="63.75" customHeight="1">
      <c r="A119" s="501" t="s">
        <v>500</v>
      </c>
      <c r="B119" s="570" t="s">
        <v>497</v>
      </c>
      <c r="C119" s="525">
        <v>807.17524000000003</v>
      </c>
      <c r="D119" s="521">
        <v>782.298</v>
      </c>
      <c r="E119" s="474">
        <f t="shared" si="7"/>
        <v>96.917987722220019</v>
      </c>
      <c r="F119" s="521">
        <v>696.96624999999995</v>
      </c>
      <c r="G119" s="474">
        <f t="shared" si="8"/>
        <v>112.24331163811736</v>
      </c>
    </row>
    <row r="120" spans="1:7" ht="38.25" customHeight="1">
      <c r="A120" s="501" t="s">
        <v>498</v>
      </c>
      <c r="B120" s="570" t="s">
        <v>499</v>
      </c>
      <c r="C120" s="512">
        <v>276.5</v>
      </c>
      <c r="D120" s="510">
        <v>276.49200000000002</v>
      </c>
      <c r="E120" s="474">
        <f t="shared" si="7"/>
        <v>99.997106690777585</v>
      </c>
      <c r="F120" s="510">
        <v>402.75689999999997</v>
      </c>
      <c r="G120" s="474">
        <f t="shared" si="8"/>
        <v>68.649848084539343</v>
      </c>
    </row>
    <row r="121" spans="1:7" s="6" customFormat="1" ht="25.5">
      <c r="A121" s="353" t="s">
        <v>65</v>
      </c>
      <c r="B121" s="571" t="s">
        <v>66</v>
      </c>
      <c r="C121" s="555">
        <f>SUM(C122+C125+C133+C143)</f>
        <v>248847.07369999998</v>
      </c>
      <c r="D121" s="473">
        <f>SUM(D122+D125+D133+D143)</f>
        <v>147205.6783</v>
      </c>
      <c r="E121" s="543">
        <f t="shared" si="7"/>
        <v>59.155077096653045</v>
      </c>
      <c r="F121" s="472">
        <f>SUM(F122+F125+F133+F143)</f>
        <v>187994.21505</v>
      </c>
      <c r="G121" s="543">
        <f t="shared" si="8"/>
        <v>78.3033021845105</v>
      </c>
    </row>
    <row r="122" spans="1:7" ht="26.25">
      <c r="A122" s="505" t="s">
        <v>67</v>
      </c>
      <c r="B122" s="572" t="s">
        <v>468</v>
      </c>
      <c r="C122" s="475">
        <v>4539.9020899999996</v>
      </c>
      <c r="D122" s="476">
        <v>4470.6744900000003</v>
      </c>
      <c r="E122" s="474">
        <f t="shared" si="7"/>
        <v>98.475130110129768</v>
      </c>
      <c r="F122" s="476">
        <v>6916.2757700000002</v>
      </c>
      <c r="G122" s="474">
        <f t="shared" si="8"/>
        <v>64.639910822989066</v>
      </c>
    </row>
    <row r="123" spans="1:7" ht="56.25">
      <c r="A123" s="501" t="s">
        <v>454</v>
      </c>
      <c r="B123" s="573" t="s">
        <v>452</v>
      </c>
      <c r="C123" s="520">
        <v>800</v>
      </c>
      <c r="D123" s="521">
        <v>730.77239999999995</v>
      </c>
      <c r="E123" s="474">
        <f t="shared" si="7"/>
        <v>91.346549999999993</v>
      </c>
      <c r="F123" s="521">
        <v>733.48782000000006</v>
      </c>
      <c r="G123" s="474">
        <f t="shared" si="8"/>
        <v>99.629793443604825</v>
      </c>
    </row>
    <row r="124" spans="1:7" ht="40.5" customHeight="1">
      <c r="A124" s="501" t="s">
        <v>555</v>
      </c>
      <c r="B124" s="573" t="s">
        <v>556</v>
      </c>
      <c r="C124" s="520">
        <v>3739.90209</v>
      </c>
      <c r="D124" s="521">
        <v>3739.90209</v>
      </c>
      <c r="E124" s="474">
        <f t="shared" si="7"/>
        <v>100</v>
      </c>
      <c r="F124" s="521">
        <v>864.42692999999997</v>
      </c>
      <c r="G124" s="474"/>
    </row>
    <row r="125" spans="1:7" ht="23.25" customHeight="1">
      <c r="A125" s="505" t="s">
        <v>69</v>
      </c>
      <c r="B125" s="572" t="s">
        <v>451</v>
      </c>
      <c r="C125" s="477">
        <v>139064.77963999999</v>
      </c>
      <c r="D125" s="478">
        <v>73166.981979999997</v>
      </c>
      <c r="E125" s="474">
        <f t="shared" si="7"/>
        <v>52.613596461597936</v>
      </c>
      <c r="F125" s="478">
        <v>133822.12010999999</v>
      </c>
      <c r="G125" s="474">
        <f t="shared" si="8"/>
        <v>54.67480407563243</v>
      </c>
    </row>
    <row r="126" spans="1:7" ht="47.25" customHeight="1">
      <c r="A126" s="501" t="s">
        <v>454</v>
      </c>
      <c r="B126" s="573" t="s">
        <v>470</v>
      </c>
      <c r="C126" s="520">
        <v>1258</v>
      </c>
      <c r="D126" s="521">
        <v>988.00058999999999</v>
      </c>
      <c r="E126" s="474">
        <f t="shared" si="7"/>
        <v>78.537407790143092</v>
      </c>
      <c r="F126" s="521">
        <v>1243.85799</v>
      </c>
      <c r="G126" s="474">
        <f t="shared" si="8"/>
        <v>79.430336738038719</v>
      </c>
    </row>
    <row r="127" spans="1:7" ht="45.75" customHeight="1">
      <c r="A127" s="501" t="s">
        <v>454</v>
      </c>
      <c r="B127" s="573" t="s">
        <v>536</v>
      </c>
      <c r="C127" s="520">
        <v>6000</v>
      </c>
      <c r="D127" s="521">
        <v>5999.9995500000005</v>
      </c>
      <c r="E127" s="474">
        <f t="shared" si="7"/>
        <v>99.999992500000019</v>
      </c>
      <c r="F127" s="475"/>
      <c r="G127" s="474"/>
    </row>
    <row r="128" spans="1:7" ht="80.25" customHeight="1">
      <c r="A128" s="501" t="s">
        <v>454</v>
      </c>
      <c r="B128" s="573" t="s">
        <v>537</v>
      </c>
      <c r="C128" s="520">
        <v>350</v>
      </c>
      <c r="D128" s="521">
        <v>350</v>
      </c>
      <c r="E128" s="474">
        <f t="shared" ref="E128" si="9">SUM(D128/C128*100)</f>
        <v>100</v>
      </c>
      <c r="F128" s="475"/>
      <c r="G128" s="474"/>
    </row>
    <row r="129" spans="1:7" ht="39" customHeight="1">
      <c r="A129" s="501" t="s">
        <v>457</v>
      </c>
      <c r="B129" s="573" t="s">
        <v>564</v>
      </c>
      <c r="C129" s="520">
        <v>542.98599999999999</v>
      </c>
      <c r="D129" s="521">
        <v>330.87979999999999</v>
      </c>
      <c r="E129" s="474">
        <f t="shared" si="7"/>
        <v>60.937077567377429</v>
      </c>
      <c r="F129" s="521">
        <v>44053.655480000001</v>
      </c>
      <c r="G129" s="474">
        <f t="shared" si="8"/>
        <v>0.75108364196977184</v>
      </c>
    </row>
    <row r="130" spans="1:7" ht="26.25" customHeight="1">
      <c r="A130" s="501" t="s">
        <v>458</v>
      </c>
      <c r="B130" s="573" t="s">
        <v>469</v>
      </c>
      <c r="C130" s="520">
        <v>28913.47638</v>
      </c>
      <c r="D130" s="521">
        <v>24602.262309999998</v>
      </c>
      <c r="E130" s="474">
        <f t="shared" si="7"/>
        <v>85.089257295320778</v>
      </c>
      <c r="F130" s="521">
        <v>12198.438759999999</v>
      </c>
      <c r="G130" s="474">
        <f t="shared" si="8"/>
        <v>201.68369734882367</v>
      </c>
    </row>
    <row r="131" spans="1:7" ht="37.5" customHeight="1">
      <c r="A131" s="501" t="s">
        <v>534</v>
      </c>
      <c r="B131" s="573" t="s">
        <v>505</v>
      </c>
      <c r="C131" s="520">
        <v>1535.4811400000001</v>
      </c>
      <c r="D131" s="521">
        <v>1535.4811400000001</v>
      </c>
      <c r="E131" s="474">
        <f t="shared" si="7"/>
        <v>100</v>
      </c>
      <c r="F131" s="521">
        <v>0</v>
      </c>
      <c r="G131" s="474"/>
    </row>
    <row r="132" spans="1:7" ht="23.25" customHeight="1">
      <c r="A132" s="501" t="s">
        <v>455</v>
      </c>
      <c r="B132" s="574" t="s">
        <v>466</v>
      </c>
      <c r="C132" s="509">
        <v>100664.83532</v>
      </c>
      <c r="D132" s="510">
        <v>39322.175999999999</v>
      </c>
      <c r="E132" s="474">
        <f t="shared" si="7"/>
        <v>39.062474870196809</v>
      </c>
      <c r="F132" s="510">
        <v>62076.280079999997</v>
      </c>
      <c r="G132" s="474">
        <f t="shared" si="8"/>
        <v>63.344929736968872</v>
      </c>
    </row>
    <row r="133" spans="1:7" ht="27.75" customHeight="1">
      <c r="A133" s="505" t="s">
        <v>71</v>
      </c>
      <c r="B133" s="575" t="s">
        <v>467</v>
      </c>
      <c r="C133" s="475">
        <v>105237.49197</v>
      </c>
      <c r="D133" s="476">
        <v>69563.121830000004</v>
      </c>
      <c r="E133" s="474">
        <f t="shared" si="7"/>
        <v>66.101082919982858</v>
      </c>
      <c r="F133" s="476">
        <v>47252.119169999998</v>
      </c>
      <c r="G133" s="474">
        <f t="shared" si="8"/>
        <v>147.21693556162256</v>
      </c>
    </row>
    <row r="134" spans="1:7" ht="57" customHeight="1">
      <c r="A134" s="501" t="s">
        <v>464</v>
      </c>
      <c r="B134" s="576" t="s">
        <v>474</v>
      </c>
      <c r="C134" s="546">
        <f>SUM(C135:C138)</f>
        <v>36184.163200000003</v>
      </c>
      <c r="D134" s="478">
        <f>SUM(D135:D138)</f>
        <v>31036.983670000001</v>
      </c>
      <c r="E134" s="474">
        <f t="shared" si="7"/>
        <v>85.775048875525741</v>
      </c>
      <c r="F134" s="477">
        <v>35574.699999999997</v>
      </c>
      <c r="G134" s="474">
        <f t="shared" si="8"/>
        <v>87.244540839416786</v>
      </c>
    </row>
    <row r="135" spans="1:7" ht="27" customHeight="1">
      <c r="A135" s="501" t="s">
        <v>464</v>
      </c>
      <c r="B135" s="570" t="s">
        <v>471</v>
      </c>
      <c r="C135" s="520">
        <v>9910</v>
      </c>
      <c r="D135" s="521">
        <v>7209.4911099999999</v>
      </c>
      <c r="E135" s="474">
        <f t="shared" si="7"/>
        <v>72.749658022199796</v>
      </c>
      <c r="F135" s="521">
        <v>7955.3542200000002</v>
      </c>
      <c r="G135" s="474">
        <f t="shared" si="8"/>
        <v>90.624388438608065</v>
      </c>
    </row>
    <row r="136" spans="1:7" ht="44.25" customHeight="1">
      <c r="A136" s="501" t="s">
        <v>464</v>
      </c>
      <c r="B136" s="570" t="s">
        <v>472</v>
      </c>
      <c r="C136" s="520">
        <v>899.3</v>
      </c>
      <c r="D136" s="521">
        <v>893.97137999999995</v>
      </c>
      <c r="E136" s="474">
        <f t="shared" si="7"/>
        <v>99.407470254642504</v>
      </c>
      <c r="F136" s="521">
        <v>14212.23323</v>
      </c>
      <c r="G136" s="474">
        <f t="shared" si="8"/>
        <v>6.29015416178897</v>
      </c>
    </row>
    <row r="137" spans="1:7" ht="28.5" customHeight="1">
      <c r="A137" s="501" t="s">
        <v>464</v>
      </c>
      <c r="B137" s="570" t="s">
        <v>473</v>
      </c>
      <c r="C137" s="520">
        <v>19061.716</v>
      </c>
      <c r="D137" s="521">
        <v>16620.37398</v>
      </c>
      <c r="E137" s="474">
        <f t="shared" si="7"/>
        <v>87.19243314715213</v>
      </c>
      <c r="F137" s="521">
        <v>7049.4763700000003</v>
      </c>
      <c r="G137" s="474">
        <f t="shared" si="8"/>
        <v>235.76749687012568</v>
      </c>
    </row>
    <row r="138" spans="1:7" ht="28.5" customHeight="1">
      <c r="A138" s="501" t="s">
        <v>464</v>
      </c>
      <c r="B138" s="570" t="s">
        <v>484</v>
      </c>
      <c r="C138" s="520">
        <v>6313.1472000000003</v>
      </c>
      <c r="D138" s="521">
        <v>6313.1472000000003</v>
      </c>
      <c r="E138" s="474">
        <f t="shared" si="7"/>
        <v>100</v>
      </c>
      <c r="F138" s="521">
        <v>5528.6878800000004</v>
      </c>
      <c r="G138" s="474">
        <f t="shared" si="8"/>
        <v>114.1888877980936</v>
      </c>
    </row>
    <row r="139" spans="1:7" ht="27.75" customHeight="1">
      <c r="A139" s="501" t="s">
        <v>455</v>
      </c>
      <c r="B139" s="570" t="s">
        <v>466</v>
      </c>
      <c r="C139" s="520">
        <v>66707.931020000004</v>
      </c>
      <c r="D139" s="521">
        <v>36183.936679999999</v>
      </c>
      <c r="E139" s="474">
        <f t="shared" si="7"/>
        <v>54.242330899382161</v>
      </c>
      <c r="F139" s="521">
        <v>9863.4708800000008</v>
      </c>
      <c r="G139" s="474">
        <f t="shared" si="8"/>
        <v>366.84790901922344</v>
      </c>
    </row>
    <row r="140" spans="1:7" ht="39" customHeight="1">
      <c r="A140" s="501" t="s">
        <v>455</v>
      </c>
      <c r="B140" s="570" t="s">
        <v>539</v>
      </c>
      <c r="C140" s="520">
        <v>4622.3130000000001</v>
      </c>
      <c r="D140" s="521">
        <v>4622.3133900000003</v>
      </c>
      <c r="E140" s="474">
        <f t="shared" si="7"/>
        <v>100.0000084373343</v>
      </c>
      <c r="F140" s="521"/>
      <c r="G140" s="474"/>
    </row>
    <row r="141" spans="1:7" ht="50.25" customHeight="1">
      <c r="A141" s="501" t="s">
        <v>465</v>
      </c>
      <c r="B141" s="570" t="s">
        <v>475</v>
      </c>
      <c r="C141" s="520">
        <v>2100</v>
      </c>
      <c r="D141" s="521">
        <v>2096.8126000000002</v>
      </c>
      <c r="E141" s="474">
        <f t="shared" si="7"/>
        <v>99.848219047619054</v>
      </c>
      <c r="F141" s="521">
        <v>0</v>
      </c>
      <c r="G141" s="474"/>
    </row>
    <row r="142" spans="1:7" ht="34.5" customHeight="1">
      <c r="A142" s="501" t="s">
        <v>518</v>
      </c>
      <c r="B142" s="570" t="s">
        <v>548</v>
      </c>
      <c r="C142" s="520">
        <v>95.38888</v>
      </c>
      <c r="D142" s="530">
        <v>95.38888</v>
      </c>
      <c r="E142" s="474">
        <f t="shared" si="7"/>
        <v>100</v>
      </c>
      <c r="F142" s="527"/>
      <c r="G142" s="474"/>
    </row>
    <row r="143" spans="1:7" s="532" customFormat="1" ht="44.25" customHeight="1">
      <c r="A143" s="514" t="s">
        <v>247</v>
      </c>
      <c r="B143" s="569" t="s">
        <v>257</v>
      </c>
      <c r="C143" s="477">
        <v>4.9000000000000004</v>
      </c>
      <c r="D143" s="537">
        <v>4.9000000000000004</v>
      </c>
      <c r="E143" s="531">
        <f t="shared" si="7"/>
        <v>100</v>
      </c>
      <c r="F143" s="478">
        <v>3.7</v>
      </c>
      <c r="G143" s="531"/>
    </row>
    <row r="144" spans="1:7" s="6" customFormat="1" ht="25.5">
      <c r="A144" s="505" t="s">
        <v>73</v>
      </c>
      <c r="B144" s="577" t="s">
        <v>74</v>
      </c>
      <c r="C144" s="547">
        <f>SUM(C145:C146)</f>
        <v>1661.7170000000001</v>
      </c>
      <c r="D144" s="481">
        <f>SUM(D145:D146)</f>
        <v>1613.4297200000001</v>
      </c>
      <c r="E144" s="543">
        <f t="shared" si="7"/>
        <v>97.094133357244345</v>
      </c>
      <c r="F144" s="481">
        <f>SUM(F146)</f>
        <v>487.64774</v>
      </c>
      <c r="G144" s="543">
        <f t="shared" si="8"/>
        <v>330.85967341917757</v>
      </c>
    </row>
    <row r="145" spans="1:7" s="6" customFormat="1" ht="46.5">
      <c r="A145" s="514" t="s">
        <v>489</v>
      </c>
      <c r="B145" s="578" t="s">
        <v>538</v>
      </c>
      <c r="C145" s="480"/>
      <c r="D145" s="481"/>
      <c r="E145" s="474"/>
      <c r="F145" s="482">
        <v>0</v>
      </c>
      <c r="G145" s="474"/>
    </row>
    <row r="146" spans="1:7" ht="28.5" customHeight="1">
      <c r="A146" s="514" t="s">
        <v>436</v>
      </c>
      <c r="B146" s="569" t="s">
        <v>437</v>
      </c>
      <c r="C146" s="484">
        <v>1661.7170000000001</v>
      </c>
      <c r="D146" s="478">
        <v>1613.4297200000001</v>
      </c>
      <c r="E146" s="474">
        <f t="shared" si="7"/>
        <v>97.094133357244345</v>
      </c>
      <c r="F146" s="478">
        <v>487.64774</v>
      </c>
      <c r="G146" s="474">
        <f t="shared" si="8"/>
        <v>330.85967341917757</v>
      </c>
    </row>
    <row r="147" spans="1:7" ht="28.5" customHeight="1">
      <c r="A147" s="501" t="s">
        <v>540</v>
      </c>
      <c r="B147" s="570" t="s">
        <v>541</v>
      </c>
      <c r="C147" s="525">
        <v>1600</v>
      </c>
      <c r="D147" s="521">
        <v>1551.74422</v>
      </c>
      <c r="E147" s="474"/>
      <c r="F147" s="478">
        <v>487.64774</v>
      </c>
      <c r="G147" s="474">
        <f t="shared" si="8"/>
        <v>318.21007106482233</v>
      </c>
    </row>
    <row r="148" spans="1:7" ht="44.25" customHeight="1">
      <c r="A148" s="501" t="s">
        <v>465</v>
      </c>
      <c r="B148" s="570" t="s">
        <v>542</v>
      </c>
      <c r="C148" s="525">
        <v>61.716999999999999</v>
      </c>
      <c r="D148" s="521">
        <v>61.684800000000003</v>
      </c>
      <c r="E148" s="474"/>
      <c r="F148" s="477"/>
      <c r="G148" s="474"/>
    </row>
    <row r="149" spans="1:7" s="6" customFormat="1" ht="33" customHeight="1">
      <c r="A149" s="505" t="s">
        <v>75</v>
      </c>
      <c r="B149" s="577" t="s">
        <v>76</v>
      </c>
      <c r="C149" s="480">
        <f>SUM(C150+C154+C163+C167+C168+C169)</f>
        <v>741021.99243999994</v>
      </c>
      <c r="D149" s="481">
        <f>D150+D154+D168+D169+D163+D167</f>
        <v>735902.02039000008</v>
      </c>
      <c r="E149" s="543">
        <f t="shared" si="7"/>
        <v>99.309066113794941</v>
      </c>
      <c r="F149" s="480">
        <f>SUM(F150+F154+F163+F167+F168+F169)</f>
        <v>624193.96216</v>
      </c>
      <c r="G149" s="543">
        <f t="shared" si="8"/>
        <v>117.89636955850045</v>
      </c>
    </row>
    <row r="150" spans="1:7" ht="26.25">
      <c r="A150" s="514" t="s">
        <v>77</v>
      </c>
      <c r="B150" s="549" t="s">
        <v>242</v>
      </c>
      <c r="C150" s="482">
        <v>151675.52937999999</v>
      </c>
      <c r="D150" s="476">
        <v>151669.03520000001</v>
      </c>
      <c r="E150" s="474">
        <f t="shared" si="7"/>
        <v>99.995718373275821</v>
      </c>
      <c r="F150" s="476">
        <v>132522.16704999999</v>
      </c>
      <c r="G150" s="474">
        <f t="shared" si="8"/>
        <v>114.4480493914471</v>
      </c>
    </row>
    <row r="151" spans="1:7" ht="40.5">
      <c r="A151" s="501" t="s">
        <v>507</v>
      </c>
      <c r="B151" s="548" t="s">
        <v>558</v>
      </c>
      <c r="C151" s="525">
        <v>18342.345239999999</v>
      </c>
      <c r="D151" s="521">
        <v>18335.851060000001</v>
      </c>
      <c r="E151" s="474">
        <f t="shared" si="7"/>
        <v>99.964594603825049</v>
      </c>
      <c r="F151" s="520">
        <v>15900.89927</v>
      </c>
      <c r="G151" s="474">
        <f t="shared" si="8"/>
        <v>115.31329611397507</v>
      </c>
    </row>
    <row r="152" spans="1:7" ht="78" customHeight="1">
      <c r="A152" s="501" t="s">
        <v>507</v>
      </c>
      <c r="B152" s="548" t="s">
        <v>514</v>
      </c>
      <c r="C152" s="525">
        <v>1521.8</v>
      </c>
      <c r="D152" s="521">
        <v>1521.8</v>
      </c>
      <c r="E152" s="474">
        <f t="shared" si="7"/>
        <v>100</v>
      </c>
      <c r="F152" s="521">
        <v>1463.3</v>
      </c>
      <c r="G152" s="474">
        <f t="shared" si="8"/>
        <v>103.99781316203102</v>
      </c>
    </row>
    <row r="153" spans="1:7" ht="48" customHeight="1">
      <c r="A153" s="501" t="s">
        <v>506</v>
      </c>
      <c r="B153" s="548" t="s">
        <v>515</v>
      </c>
      <c r="C153" s="525">
        <v>60</v>
      </c>
      <c r="D153" s="521">
        <v>60</v>
      </c>
      <c r="E153" s="474">
        <f t="shared" si="7"/>
        <v>100</v>
      </c>
      <c r="F153" s="536">
        <v>60</v>
      </c>
      <c r="G153" s="474">
        <f t="shared" si="8"/>
        <v>100</v>
      </c>
    </row>
    <row r="154" spans="1:7" ht="26.25">
      <c r="A154" s="514" t="s">
        <v>78</v>
      </c>
      <c r="B154" s="549" t="s">
        <v>243</v>
      </c>
      <c r="C154" s="482">
        <v>551452.81461</v>
      </c>
      <c r="D154" s="476">
        <v>547081.55506000004</v>
      </c>
      <c r="E154" s="474">
        <f t="shared" si="7"/>
        <v>99.207319387227827</v>
      </c>
      <c r="F154" s="476">
        <v>453214.49125000002</v>
      </c>
      <c r="G154" s="474">
        <f t="shared" si="8"/>
        <v>120.71139948572861</v>
      </c>
    </row>
    <row r="155" spans="1:7" ht="60.75">
      <c r="A155" s="501" t="s">
        <v>507</v>
      </c>
      <c r="B155" s="548" t="s">
        <v>516</v>
      </c>
      <c r="C155" s="525">
        <v>41820.737000000001</v>
      </c>
      <c r="D155" s="521">
        <v>41696.338519999998</v>
      </c>
      <c r="E155" s="474">
        <f t="shared" si="7"/>
        <v>99.702543549148828</v>
      </c>
      <c r="F155" s="535">
        <v>12601.62529</v>
      </c>
      <c r="G155" s="474">
        <f t="shared" si="8"/>
        <v>330.88064087326944</v>
      </c>
    </row>
    <row r="156" spans="1:7" ht="60.75">
      <c r="A156" s="501" t="s">
        <v>507</v>
      </c>
      <c r="B156" s="548" t="s">
        <v>517</v>
      </c>
      <c r="C156" s="525">
        <v>1743.4</v>
      </c>
      <c r="D156" s="521">
        <v>1743.4</v>
      </c>
      <c r="E156" s="474">
        <f t="shared" ref="E156:E161" si="10">SUM(D156/C156*100)</f>
        <v>100</v>
      </c>
      <c r="F156" s="535">
        <v>2376.328</v>
      </c>
      <c r="G156" s="474">
        <f t="shared" si="8"/>
        <v>73.365293006689313</v>
      </c>
    </row>
    <row r="157" spans="1:7" ht="88.5" customHeight="1">
      <c r="A157" s="501" t="s">
        <v>507</v>
      </c>
      <c r="B157" s="548" t="s">
        <v>544</v>
      </c>
      <c r="C157" s="534">
        <v>32424</v>
      </c>
      <c r="D157" s="535">
        <v>32424</v>
      </c>
      <c r="E157" s="533">
        <f t="shared" si="10"/>
        <v>100</v>
      </c>
      <c r="F157" s="529">
        <v>17708.2</v>
      </c>
      <c r="G157" s="533">
        <f t="shared" si="8"/>
        <v>183.10161394156378</v>
      </c>
    </row>
    <row r="158" spans="1:7" ht="49.5" customHeight="1">
      <c r="A158" s="501" t="s">
        <v>507</v>
      </c>
      <c r="B158" s="548" t="s">
        <v>545</v>
      </c>
      <c r="C158" s="525">
        <v>13856.81403</v>
      </c>
      <c r="D158" s="521">
        <v>13842.63877</v>
      </c>
      <c r="E158" s="474">
        <f t="shared" si="10"/>
        <v>99.897701881765101</v>
      </c>
      <c r="F158" s="520">
        <v>11911.443300000001</v>
      </c>
      <c r="G158" s="474">
        <f t="shared" si="8"/>
        <v>116.21294264146813</v>
      </c>
    </row>
    <row r="159" spans="1:7" ht="86.25" customHeight="1">
      <c r="A159" s="501" t="s">
        <v>507</v>
      </c>
      <c r="B159" s="548" t="s">
        <v>543</v>
      </c>
      <c r="C159" s="525">
        <v>2759.058</v>
      </c>
      <c r="D159" s="521">
        <v>2755.5555599999998</v>
      </c>
      <c r="E159" s="474">
        <f t="shared" si="10"/>
        <v>99.873056673690797</v>
      </c>
      <c r="F159" s="520">
        <v>629.24571000000003</v>
      </c>
      <c r="G159" s="474">
        <f t="shared" si="8"/>
        <v>437.91407970028109</v>
      </c>
    </row>
    <row r="160" spans="1:7" ht="46.5" customHeight="1">
      <c r="A160" s="501" t="s">
        <v>507</v>
      </c>
      <c r="B160" s="548" t="s">
        <v>557</v>
      </c>
      <c r="C160" s="525">
        <v>3208.9247300000002</v>
      </c>
      <c r="D160" s="521">
        <v>3118.59402</v>
      </c>
      <c r="E160" s="474">
        <f t="shared" si="10"/>
        <v>97.185016240627121</v>
      </c>
      <c r="F160" s="475"/>
      <c r="G160" s="474"/>
    </row>
    <row r="161" spans="1:7" ht="87" customHeight="1">
      <c r="A161" s="501" t="s">
        <v>508</v>
      </c>
      <c r="B161" s="548" t="s">
        <v>529</v>
      </c>
      <c r="C161" s="525">
        <v>3109.3031700000001</v>
      </c>
      <c r="D161" s="521">
        <v>3109.3031700000001</v>
      </c>
      <c r="E161" s="474">
        <f t="shared" si="10"/>
        <v>100</v>
      </c>
      <c r="F161" s="521">
        <v>3194.7</v>
      </c>
      <c r="G161" s="474">
        <f t="shared" si="8"/>
        <v>97.326921776692657</v>
      </c>
    </row>
    <row r="162" spans="1:7" ht="40.5">
      <c r="A162" s="501" t="s">
        <v>525</v>
      </c>
      <c r="B162" s="548" t="s">
        <v>515</v>
      </c>
      <c r="C162" s="512">
        <v>200</v>
      </c>
      <c r="D162" s="510">
        <v>200</v>
      </c>
      <c r="E162" s="474">
        <f t="shared" ref="E162" si="11">SUM(D162/C162*100)</f>
        <v>100</v>
      </c>
      <c r="F162" s="510">
        <v>200</v>
      </c>
      <c r="G162" s="474">
        <f t="shared" si="8"/>
        <v>100</v>
      </c>
    </row>
    <row r="163" spans="1:7" ht="26.25">
      <c r="A163" s="514" t="s">
        <v>310</v>
      </c>
      <c r="B163" s="549" t="s">
        <v>311</v>
      </c>
      <c r="C163" s="482">
        <v>27598.087179999999</v>
      </c>
      <c r="D163" s="476">
        <v>27243.35799</v>
      </c>
      <c r="E163" s="474">
        <f t="shared" ref="E163:E200" si="12">SUM(D163/C163*100)</f>
        <v>98.71466023102839</v>
      </c>
      <c r="F163" s="476">
        <v>29614.545760000001</v>
      </c>
      <c r="G163" s="474">
        <f t="shared" si="8"/>
        <v>91.993165151961449</v>
      </c>
    </row>
    <row r="164" spans="1:7" ht="40.5">
      <c r="A164" s="501" t="s">
        <v>507</v>
      </c>
      <c r="B164" s="548" t="s">
        <v>493</v>
      </c>
      <c r="C164" s="512">
        <v>10549.642</v>
      </c>
      <c r="D164" s="510">
        <v>10188.913</v>
      </c>
      <c r="E164" s="474">
        <f t="shared" si="12"/>
        <v>96.580651741547257</v>
      </c>
      <c r="F164" s="510">
        <v>7877.4</v>
      </c>
      <c r="G164" s="474">
        <f t="shared" si="8"/>
        <v>129.34360321933633</v>
      </c>
    </row>
    <row r="165" spans="1:7" ht="48" customHeight="1">
      <c r="A165" s="501" t="s">
        <v>507</v>
      </c>
      <c r="B165" s="548" t="s">
        <v>522</v>
      </c>
      <c r="C165" s="512">
        <v>14798.380800000001</v>
      </c>
      <c r="D165" s="510">
        <v>14798.38061</v>
      </c>
      <c r="E165" s="474">
        <f t="shared" si="12"/>
        <v>99.999998716075737</v>
      </c>
      <c r="F165" s="510">
        <v>9806.6769999999997</v>
      </c>
      <c r="G165" s="474">
        <f t="shared" si="8"/>
        <v>150.90107087242703</v>
      </c>
    </row>
    <row r="166" spans="1:7" ht="45.75" customHeight="1">
      <c r="A166" s="501" t="s">
        <v>524</v>
      </c>
      <c r="B166" s="548" t="s">
        <v>523</v>
      </c>
      <c r="C166" s="512">
        <v>0</v>
      </c>
      <c r="D166" s="510">
        <v>0</v>
      </c>
      <c r="E166" s="474"/>
      <c r="F166" s="510">
        <v>8589.9</v>
      </c>
      <c r="G166" s="474">
        <f t="shared" si="8"/>
        <v>0</v>
      </c>
    </row>
    <row r="167" spans="1:7" ht="46.5">
      <c r="A167" s="514" t="s">
        <v>427</v>
      </c>
      <c r="B167" s="549" t="s">
        <v>428</v>
      </c>
      <c r="C167" s="484">
        <v>140</v>
      </c>
      <c r="D167" s="478">
        <v>114.1</v>
      </c>
      <c r="E167" s="474">
        <f t="shared" si="12"/>
        <v>81.5</v>
      </c>
      <c r="F167" s="478">
        <v>48.6</v>
      </c>
      <c r="G167" s="474">
        <f t="shared" si="8"/>
        <v>234.77366255144031</v>
      </c>
    </row>
    <row r="168" spans="1:7" ht="26.25">
      <c r="A168" s="514" t="s">
        <v>79</v>
      </c>
      <c r="B168" s="549" t="s">
        <v>244</v>
      </c>
      <c r="C168" s="484">
        <v>620</v>
      </c>
      <c r="D168" s="478">
        <v>525.96847000000002</v>
      </c>
      <c r="E168" s="474">
        <f t="shared" si="12"/>
        <v>84.833624193548403</v>
      </c>
      <c r="F168" s="478">
        <v>421</v>
      </c>
      <c r="G168" s="474">
        <f t="shared" si="8"/>
        <v>124.93312826603326</v>
      </c>
    </row>
    <row r="169" spans="1:7" ht="26.25">
      <c r="A169" s="514" t="s">
        <v>80</v>
      </c>
      <c r="B169" s="549" t="s">
        <v>245</v>
      </c>
      <c r="C169" s="484">
        <v>9535.5612700000001</v>
      </c>
      <c r="D169" s="478">
        <v>9268.0036700000001</v>
      </c>
      <c r="E169" s="474">
        <f t="shared" si="12"/>
        <v>97.194107484351576</v>
      </c>
      <c r="F169" s="478">
        <v>8373.1581000000006</v>
      </c>
      <c r="G169" s="474">
        <f t="shared" si="8"/>
        <v>110.68707361443467</v>
      </c>
    </row>
    <row r="170" spans="1:7" ht="40.5">
      <c r="A170" s="501" t="s">
        <v>526</v>
      </c>
      <c r="B170" s="548" t="s">
        <v>490</v>
      </c>
      <c r="C170" s="525">
        <v>2789.0880000000002</v>
      </c>
      <c r="D170" s="521">
        <v>2789.0880000000002</v>
      </c>
      <c r="E170" s="474">
        <f t="shared" si="12"/>
        <v>100</v>
      </c>
      <c r="F170" s="478">
        <v>2590.078</v>
      </c>
      <c r="G170" s="474">
        <f t="shared" si="8"/>
        <v>107.68355238722542</v>
      </c>
    </row>
    <row r="171" spans="1:7" ht="51.75" customHeight="1">
      <c r="A171" s="501" t="s">
        <v>547</v>
      </c>
      <c r="B171" s="548" t="s">
        <v>546</v>
      </c>
      <c r="C171" s="525">
        <v>1100</v>
      </c>
      <c r="D171" s="521">
        <v>832.44200000000001</v>
      </c>
      <c r="E171" s="474">
        <f t="shared" si="12"/>
        <v>75.676545454545447</v>
      </c>
      <c r="F171" s="509">
        <v>895.28009999999995</v>
      </c>
      <c r="G171" s="474">
        <f t="shared" si="8"/>
        <v>92.981179856449401</v>
      </c>
    </row>
    <row r="172" spans="1:7" s="6" customFormat="1" ht="25.5">
      <c r="A172" s="353" t="s">
        <v>81</v>
      </c>
      <c r="B172" s="579" t="s">
        <v>82</v>
      </c>
      <c r="C172" s="472">
        <f>SUM(C173+C179)</f>
        <v>134151.72044999999</v>
      </c>
      <c r="D172" s="473">
        <f>SUM(D173+D179)</f>
        <v>112521.59884999999</v>
      </c>
      <c r="E172" s="543">
        <f t="shared" si="12"/>
        <v>83.876374058086114</v>
      </c>
      <c r="F172" s="472">
        <f>SUM(F173+F179)</f>
        <v>80658.304609999992</v>
      </c>
      <c r="G172" s="543">
        <f t="shared" si="8"/>
        <v>139.50404660011858</v>
      </c>
    </row>
    <row r="173" spans="1:7" ht="26.25">
      <c r="A173" s="514" t="s">
        <v>83</v>
      </c>
      <c r="B173" s="569" t="s">
        <v>225</v>
      </c>
      <c r="C173" s="475">
        <v>131426.72044999999</v>
      </c>
      <c r="D173" s="476">
        <v>109993.91817999999</v>
      </c>
      <c r="E173" s="474">
        <f t="shared" si="12"/>
        <v>83.692203384049364</v>
      </c>
      <c r="F173" s="476">
        <v>78706.217839999998</v>
      </c>
      <c r="G173" s="474">
        <f t="shared" si="8"/>
        <v>139.75251409438073</v>
      </c>
    </row>
    <row r="174" spans="1:7" ht="26.25">
      <c r="A174" s="501" t="s">
        <v>455</v>
      </c>
      <c r="B174" s="570" t="s">
        <v>466</v>
      </c>
      <c r="C174" s="475">
        <v>19767.556680000002</v>
      </c>
      <c r="D174" s="476">
        <v>0</v>
      </c>
      <c r="E174" s="474">
        <f t="shared" si="12"/>
        <v>0</v>
      </c>
      <c r="F174" s="476">
        <v>6131.1</v>
      </c>
      <c r="G174" s="474">
        <f t="shared" si="8"/>
        <v>0</v>
      </c>
    </row>
    <row r="175" spans="1:7" ht="60.75">
      <c r="A175" s="501" t="s">
        <v>518</v>
      </c>
      <c r="B175" s="570" t="s">
        <v>519</v>
      </c>
      <c r="C175" s="520">
        <v>17664.893</v>
      </c>
      <c r="D175" s="521">
        <v>17664.893</v>
      </c>
      <c r="E175" s="474">
        <f t="shared" si="12"/>
        <v>100</v>
      </c>
      <c r="F175" s="521">
        <v>6259.6</v>
      </c>
      <c r="G175" s="474">
        <f t="shared" si="8"/>
        <v>282.2048213943383</v>
      </c>
    </row>
    <row r="176" spans="1:7" ht="40.5">
      <c r="A176" s="501" t="s">
        <v>518</v>
      </c>
      <c r="B176" s="570" t="s">
        <v>520</v>
      </c>
      <c r="C176" s="520">
        <v>566.45000000000005</v>
      </c>
      <c r="D176" s="521">
        <v>566.45000000000005</v>
      </c>
      <c r="E176" s="474">
        <f t="shared" si="12"/>
        <v>100</v>
      </c>
      <c r="F176" s="521">
        <v>201.69499999999999</v>
      </c>
      <c r="G176" s="474">
        <f t="shared" si="8"/>
        <v>280.84483998115968</v>
      </c>
    </row>
    <row r="177" spans="1:8" ht="40.5">
      <c r="A177" s="501" t="s">
        <v>518</v>
      </c>
      <c r="B177" s="570" t="s">
        <v>521</v>
      </c>
      <c r="C177" s="520">
        <v>4987.75</v>
      </c>
      <c r="D177" s="521">
        <v>4987.75</v>
      </c>
      <c r="E177" s="474">
        <f t="shared" si="12"/>
        <v>100</v>
      </c>
      <c r="F177" s="521">
        <v>1552.9</v>
      </c>
      <c r="G177" s="474">
        <f t="shared" si="8"/>
        <v>321.18938759739837</v>
      </c>
    </row>
    <row r="178" spans="1:8" ht="38.25" customHeight="1">
      <c r="A178" s="501" t="s">
        <v>550</v>
      </c>
      <c r="B178" s="570" t="s">
        <v>549</v>
      </c>
      <c r="C178" s="520">
        <v>32208.524399999998</v>
      </c>
      <c r="D178" s="521">
        <v>32208.524399999998</v>
      </c>
      <c r="E178" s="474"/>
      <c r="F178" s="477"/>
      <c r="G178" s="474"/>
    </row>
    <row r="179" spans="1:8" ht="32.25" customHeight="1">
      <c r="A179" s="514" t="s">
        <v>254</v>
      </c>
      <c r="B179" s="580" t="s">
        <v>255</v>
      </c>
      <c r="C179" s="477">
        <v>2725</v>
      </c>
      <c r="D179" s="478">
        <v>2527.6806700000002</v>
      </c>
      <c r="E179" s="474">
        <f t="shared" si="12"/>
        <v>92.75892366972478</v>
      </c>
      <c r="F179" s="478">
        <v>1952.0867699999999</v>
      </c>
      <c r="G179" s="474">
        <f t="shared" si="8"/>
        <v>129.48608170732086</v>
      </c>
    </row>
    <row r="180" spans="1:8" s="6" customFormat="1" ht="25.5">
      <c r="A180" s="359">
        <v>1000</v>
      </c>
      <c r="B180" s="579" t="s">
        <v>84</v>
      </c>
      <c r="C180" s="488">
        <f>SUM(C181+C182+C185+C189)</f>
        <v>78251.225560000006</v>
      </c>
      <c r="D180" s="522">
        <f>D181+D182+D185+D189</f>
        <v>77441.952369999999</v>
      </c>
      <c r="E180" s="543">
        <f t="shared" si="12"/>
        <v>98.965801258435889</v>
      </c>
      <c r="F180" s="523">
        <f>SUM(F181+F182+F185+F189)</f>
        <v>67535.616109999988</v>
      </c>
      <c r="G180" s="543">
        <f t="shared" si="8"/>
        <v>114.66831404020195</v>
      </c>
      <c r="H180" s="93"/>
    </row>
    <row r="181" spans="1:8" ht="26.25">
      <c r="A181" s="517">
        <v>1001</v>
      </c>
      <c r="B181" s="581" t="s">
        <v>85</v>
      </c>
      <c r="C181" s="477">
        <v>200</v>
      </c>
      <c r="D181" s="478">
        <v>197.26850999999999</v>
      </c>
      <c r="E181" s="474">
        <f t="shared" si="12"/>
        <v>98.634254999999996</v>
      </c>
      <c r="F181" s="478">
        <v>19.865310000000001</v>
      </c>
      <c r="G181" s="474">
        <f t="shared" si="8"/>
        <v>993.03011128444507</v>
      </c>
    </row>
    <row r="182" spans="1:8" ht="26.25">
      <c r="A182" s="517">
        <v>1003</v>
      </c>
      <c r="B182" s="581" t="s">
        <v>86</v>
      </c>
      <c r="C182" s="477">
        <v>14213.00971</v>
      </c>
      <c r="D182" s="478">
        <v>13727.06076</v>
      </c>
      <c r="E182" s="474">
        <f t="shared" si="12"/>
        <v>96.580956743749397</v>
      </c>
      <c r="F182" s="478">
        <v>10047.64316</v>
      </c>
      <c r="G182" s="474">
        <f t="shared" si="8"/>
        <v>136.61970813859995</v>
      </c>
    </row>
    <row r="183" spans="1:8" ht="48" customHeight="1">
      <c r="A183" s="508" t="s">
        <v>509</v>
      </c>
      <c r="B183" s="582" t="s">
        <v>510</v>
      </c>
      <c r="C183" s="520">
        <v>1273.8499999999999</v>
      </c>
      <c r="D183" s="521">
        <v>1273.8499999999999</v>
      </c>
      <c r="E183" s="474">
        <f t="shared" si="12"/>
        <v>100</v>
      </c>
      <c r="F183" s="521">
        <v>1152.1373900000001</v>
      </c>
      <c r="G183" s="474">
        <f t="shared" si="8"/>
        <v>110.56407083533672</v>
      </c>
    </row>
    <row r="184" spans="1:8" ht="65.25" customHeight="1">
      <c r="A184" s="508" t="s">
        <v>507</v>
      </c>
      <c r="B184" s="582" t="s">
        <v>491</v>
      </c>
      <c r="C184" s="520">
        <v>334.4</v>
      </c>
      <c r="D184" s="521">
        <v>300.49687</v>
      </c>
      <c r="E184" s="474">
        <f t="shared" si="12"/>
        <v>89.861504186602886</v>
      </c>
      <c r="F184" s="521">
        <v>147.69999999999999</v>
      </c>
      <c r="G184" s="474">
        <f t="shared" si="8"/>
        <v>203.45082599864591</v>
      </c>
    </row>
    <row r="185" spans="1:8" ht="26.25">
      <c r="A185" s="517">
        <v>1004</v>
      </c>
      <c r="B185" s="581" t="s">
        <v>485</v>
      </c>
      <c r="C185" s="475">
        <v>63746.615850000002</v>
      </c>
      <c r="D185" s="485">
        <v>63426.023099999999</v>
      </c>
      <c r="E185" s="474">
        <f t="shared" si="12"/>
        <v>99.497082714548526</v>
      </c>
      <c r="F185" s="485">
        <v>57387.207640000001</v>
      </c>
      <c r="G185" s="474">
        <f t="shared" si="8"/>
        <v>110.52292960110996</v>
      </c>
    </row>
    <row r="186" spans="1:8" ht="26.25">
      <c r="A186" s="508" t="s">
        <v>453</v>
      </c>
      <c r="B186" s="582" t="s">
        <v>486</v>
      </c>
      <c r="C186" s="509">
        <v>12668.59275</v>
      </c>
      <c r="D186" s="511">
        <v>12348</v>
      </c>
      <c r="E186" s="474">
        <f t="shared" si="12"/>
        <v>97.469389407911947</v>
      </c>
      <c r="F186" s="511">
        <v>15507</v>
      </c>
      <c r="G186" s="474">
        <f t="shared" si="8"/>
        <v>79.628554846198497</v>
      </c>
    </row>
    <row r="187" spans="1:8" ht="26.25">
      <c r="A187" s="508" t="s">
        <v>511</v>
      </c>
      <c r="B187" s="582" t="s">
        <v>487</v>
      </c>
      <c r="C187" s="509">
        <v>33303.606</v>
      </c>
      <c r="D187" s="511">
        <v>33303.606</v>
      </c>
      <c r="E187" s="474">
        <f t="shared" si="12"/>
        <v>100</v>
      </c>
      <c r="F187" s="511">
        <v>27640.1</v>
      </c>
      <c r="G187" s="474">
        <f t="shared" si="8"/>
        <v>120.49017912380926</v>
      </c>
    </row>
    <row r="188" spans="1:8" ht="40.5">
      <c r="A188" s="508" t="s">
        <v>453</v>
      </c>
      <c r="B188" s="582" t="s">
        <v>488</v>
      </c>
      <c r="C188" s="520">
        <v>17083.0491</v>
      </c>
      <c r="D188" s="519">
        <v>17083.0491</v>
      </c>
      <c r="E188" s="474">
        <f t="shared" si="12"/>
        <v>100</v>
      </c>
      <c r="F188" s="519">
        <v>13653.7</v>
      </c>
      <c r="G188" s="474">
        <f t="shared" si="8"/>
        <v>125.11662845968492</v>
      </c>
    </row>
    <row r="189" spans="1:8" ht="28.5" customHeight="1">
      <c r="A189" s="514" t="s">
        <v>88</v>
      </c>
      <c r="B189" s="569" t="s">
        <v>89</v>
      </c>
      <c r="C189" s="475">
        <v>91.6</v>
      </c>
      <c r="D189" s="476">
        <v>91.6</v>
      </c>
      <c r="E189" s="474">
        <f t="shared" si="12"/>
        <v>100</v>
      </c>
      <c r="F189" s="476">
        <v>80.900000000000006</v>
      </c>
      <c r="G189" s="474">
        <f t="shared" si="8"/>
        <v>113.22620519159454</v>
      </c>
    </row>
    <row r="190" spans="1:8" ht="25.5">
      <c r="A190" s="353" t="s">
        <v>90</v>
      </c>
      <c r="B190" s="579" t="s">
        <v>91</v>
      </c>
      <c r="C190" s="472">
        <f>C191+C193+C195</f>
        <v>18371.297380000004</v>
      </c>
      <c r="D190" s="473">
        <f>D191+D193+D195</f>
        <v>18370.947380000001</v>
      </c>
      <c r="E190" s="543">
        <f t="shared" si="12"/>
        <v>99.998094854202392</v>
      </c>
      <c r="F190" s="472">
        <f>SUM(F191+F193)</f>
        <v>9794.1</v>
      </c>
      <c r="G190" s="543">
        <f t="shared" si="8"/>
        <v>187.57157247730777</v>
      </c>
    </row>
    <row r="191" spans="1:8" ht="26.25">
      <c r="A191" s="514" t="s">
        <v>92</v>
      </c>
      <c r="B191" s="569" t="s">
        <v>93</v>
      </c>
      <c r="C191" s="475">
        <v>1295.905</v>
      </c>
      <c r="D191" s="476">
        <v>1295.905</v>
      </c>
      <c r="E191" s="474">
        <f t="shared" si="12"/>
        <v>100</v>
      </c>
      <c r="F191" s="476">
        <v>1091.4000000000001</v>
      </c>
      <c r="G191" s="474">
        <f t="shared" si="8"/>
        <v>118.73785962983322</v>
      </c>
    </row>
    <row r="192" spans="1:8" ht="38.25" customHeight="1">
      <c r="A192" s="501" t="s">
        <v>512</v>
      </c>
      <c r="B192" s="570" t="s">
        <v>530</v>
      </c>
      <c r="C192" s="509">
        <v>1295.905</v>
      </c>
      <c r="D192" s="510">
        <v>1295.905</v>
      </c>
      <c r="E192" s="474">
        <f t="shared" si="12"/>
        <v>100</v>
      </c>
      <c r="F192" s="510">
        <v>1091.0999999999999</v>
      </c>
      <c r="G192" s="474">
        <f t="shared" si="8"/>
        <v>118.77050682797179</v>
      </c>
    </row>
    <row r="193" spans="1:9" ht="26.25" customHeight="1">
      <c r="A193" s="514" t="s">
        <v>94</v>
      </c>
      <c r="B193" s="515" t="s">
        <v>95</v>
      </c>
      <c r="C193" s="475">
        <v>8461.4819100000004</v>
      </c>
      <c r="D193" s="476">
        <v>8461.1319100000001</v>
      </c>
      <c r="E193" s="474">
        <f t="shared" si="12"/>
        <v>99.995863608718622</v>
      </c>
      <c r="F193" s="476">
        <v>8702.7000000000007</v>
      </c>
      <c r="G193" s="474">
        <f t="shared" si="8"/>
        <v>97.224216737334373</v>
      </c>
    </row>
    <row r="194" spans="1:9" ht="44.25" customHeight="1">
      <c r="A194" s="501" t="s">
        <v>512</v>
      </c>
      <c r="B194" s="506" t="s">
        <v>513</v>
      </c>
      <c r="C194" s="509">
        <v>5440.3</v>
      </c>
      <c r="D194" s="510">
        <v>5439.95</v>
      </c>
      <c r="E194" s="474">
        <f t="shared" si="12"/>
        <v>99.993566531257457</v>
      </c>
      <c r="F194" s="509">
        <v>6072.8680000000004</v>
      </c>
      <c r="G194" s="474">
        <f t="shared" si="8"/>
        <v>89.577939122009568</v>
      </c>
    </row>
    <row r="195" spans="1:9" ht="30" customHeight="1">
      <c r="A195" s="514" t="s">
        <v>96</v>
      </c>
      <c r="B195" s="515" t="s">
        <v>97</v>
      </c>
      <c r="C195" s="475">
        <v>8613.9104700000007</v>
      </c>
      <c r="D195" s="527">
        <v>8613.9104700000007</v>
      </c>
      <c r="E195" s="474">
        <f t="shared" si="12"/>
        <v>100</v>
      </c>
      <c r="F195" s="473">
        <v>0</v>
      </c>
      <c r="G195" s="474"/>
    </row>
    <row r="196" spans="1:9" ht="35.25" customHeight="1">
      <c r="A196" s="353" t="s">
        <v>102</v>
      </c>
      <c r="B196" s="439" t="s">
        <v>103</v>
      </c>
      <c r="C196" s="472">
        <f>C197</f>
        <v>0</v>
      </c>
      <c r="D196" s="486">
        <f>D197</f>
        <v>0</v>
      </c>
      <c r="E196" s="474"/>
      <c r="F196" s="487">
        <v>0</v>
      </c>
      <c r="G196" s="474"/>
    </row>
    <row r="197" spans="1:9" ht="30" customHeight="1">
      <c r="A197" s="514" t="s">
        <v>104</v>
      </c>
      <c r="B197" s="515" t="s">
        <v>105</v>
      </c>
      <c r="C197" s="475">
        <v>0</v>
      </c>
      <c r="D197" s="476">
        <v>0</v>
      </c>
      <c r="E197" s="474"/>
      <c r="F197" s="475">
        <v>0</v>
      </c>
      <c r="G197" s="474"/>
    </row>
    <row r="198" spans="1:9" ht="42.75" customHeight="1">
      <c r="A198" s="353" t="s">
        <v>106</v>
      </c>
      <c r="B198" s="442" t="s">
        <v>107</v>
      </c>
      <c r="C198" s="488">
        <v>0</v>
      </c>
      <c r="D198" s="489">
        <v>0</v>
      </c>
      <c r="E198" s="474"/>
      <c r="F198" s="488">
        <v>0</v>
      </c>
      <c r="G198" s="474"/>
    </row>
    <row r="199" spans="1:9" ht="45.75" hidden="1" customHeight="1">
      <c r="A199" s="514" t="s">
        <v>108</v>
      </c>
      <c r="B199" s="518" t="s">
        <v>528</v>
      </c>
      <c r="C199" s="477">
        <v>0</v>
      </c>
      <c r="D199" s="478">
        <v>0</v>
      </c>
      <c r="E199" s="474"/>
      <c r="F199" s="477">
        <v>0</v>
      </c>
      <c r="G199" s="474" t="e">
        <f t="shared" si="8"/>
        <v>#DIV/0!</v>
      </c>
    </row>
    <row r="200" spans="1:9" s="6" customFormat="1" ht="33.75" thickBot="1">
      <c r="A200" s="550"/>
      <c r="B200" s="551" t="s">
        <v>113</v>
      </c>
      <c r="C200" s="552">
        <f>C82+C91+C93+C98+C121+C144+C149+C172+C180+C190+C196+C198</f>
        <v>1614931.8709099996</v>
      </c>
      <c r="D200" s="552">
        <f>D82+D91+D93+D98+D121+D144+D149+D172+D180+D190+D196+D198</f>
        <v>1430222.3906700001</v>
      </c>
      <c r="E200" s="553">
        <f t="shared" si="12"/>
        <v>88.56239798302343</v>
      </c>
      <c r="F200" s="552">
        <f>F82+F91+F93+F98+F121+F144+F149+F172+F180+F190+F196+F198</f>
        <v>1212772.0364700002</v>
      </c>
      <c r="G200" s="554">
        <f t="shared" si="8"/>
        <v>117.93002705050242</v>
      </c>
      <c r="H200" s="93"/>
      <c r="I200" s="93"/>
    </row>
    <row r="201" spans="1:9" ht="20.25">
      <c r="A201" s="360"/>
      <c r="B201" s="361"/>
      <c r="C201" s="362"/>
      <c r="D201" s="373"/>
      <c r="E201" s="373"/>
      <c r="F201" s="373"/>
      <c r="G201" s="363"/>
    </row>
    <row r="202" spans="1:9" s="65" customFormat="1" ht="20.25">
      <c r="A202" s="364" t="s">
        <v>444</v>
      </c>
      <c r="B202" s="364"/>
      <c r="C202" s="365"/>
      <c r="D202" s="365"/>
      <c r="E202" s="365"/>
      <c r="F202" s="365"/>
      <c r="G202" s="366"/>
    </row>
    <row r="203" spans="1:9" s="65" customFormat="1" ht="20.25">
      <c r="A203" s="367" t="s">
        <v>430</v>
      </c>
      <c r="B203" s="367"/>
      <c r="C203" s="365" t="s">
        <v>431</v>
      </c>
      <c r="D203" s="365"/>
      <c r="E203" s="365"/>
      <c r="F203" s="365"/>
      <c r="G203" s="366"/>
    </row>
  </sheetData>
  <customSheetViews>
    <customSheetView guid="{61528DAC-5C4C-48F4-ADE2-8A724B05A086}" scale="62" showPageBreaks="1" printArea="1" hiddenRows="1" view="pageBreakPreview">
      <selection activeCell="G200" sqref="G200"/>
      <rowBreaks count="2" manualBreakCount="2">
        <brk id="79" max="6" man="1"/>
        <brk id="140" max="6" man="1"/>
      </rowBreaks>
      <pageMargins left="0.59055118110236227" right="0.55118110236220474" top="0.15748031496062992" bottom="0.15748031496062992" header="0.15748031496062992" footer="0.27559055118110237"/>
      <pageSetup paperSize="9" scale="33" orientation="portrait" r:id="rId1"/>
      <headerFooter alignWithMargins="0"/>
    </customSheetView>
    <customSheetView guid="{A486C6EE-08B2-475E-8DA1-C3C3163412A9}" scale="62" showPageBreaks="1" fitToPage="1" printArea="1" hiddenRows="1" view="pageBreakPreview" topLeftCell="A20">
      <selection activeCell="B192" sqref="B192"/>
      <rowBreaks count="2" manualBreakCount="2">
        <brk id="79" max="6" man="1"/>
        <brk id="140" max="6" man="1"/>
      </rowBreaks>
      <pageMargins left="0.25" right="0.25" top="0.75" bottom="0.75" header="0.3" footer="0.3"/>
      <pageSetup paperSize="9" scale="39" fitToHeight="0" orientation="portrait" r:id="rId2"/>
      <headerFooter alignWithMargins="0"/>
    </customSheetView>
    <customSheetView guid="{F1E84C44-1ACD-474A-BDE0-C7088DB6C590}" scale="62" showPageBreaks="1" printArea="1" view="pageBreakPreview" topLeftCell="A63">
      <selection activeCell="B80" sqref="B80:G183"/>
      <rowBreaks count="2" manualBreakCount="2">
        <brk id="79" max="5" man="1"/>
        <brk id="141" max="6" man="1"/>
      </rowBreaks>
      <pageMargins left="0.59055118110236227" right="0.55118110236220474" top="0.15748031496062992" bottom="0.15748031496062992" header="0.15748031496062992" footer="0.27559055118110237"/>
      <pageSetup paperSize="9" scale="35" orientation="portrait" r:id="rId3"/>
      <headerFooter alignWithMargins="0"/>
    </customSheetView>
    <customSheetView guid="{F85EE840-0C31-454A-8951-832C2E9E0600}" scale="60" showPageBreaks="1" printArea="1" view="pageBreakPreview" topLeftCell="A95">
      <selection activeCell="D73" sqref="D73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0" orientation="portrait" r:id="rId4"/>
      <headerFooter alignWithMargins="0"/>
    </customSheetView>
    <customSheetView guid="{3DCB9AAA-F09C-4EA6-B992-F93E466D374A}" scale="67" showPageBreaks="1" fitToPage="1" printArea="1" hiddenRows="1" view="pageBreakPreview" topLeftCell="A58">
      <selection activeCell="K84" sqref="K84"/>
      <rowBreaks count="1" manualBreakCount="1">
        <brk id="82" max="16383" man="1"/>
      </rowBreaks>
      <pageMargins left="0.59055118110236227" right="0.55118110236220474" top="0.15748031496062992" bottom="0.15748031496062992" header="0.15748031496062992" footer="0.27559055118110237"/>
      <pageSetup paperSize="9" scale="42" fitToHeight="2" orientation="portrait" r:id="rId5"/>
      <headerFooter alignWithMargins="0"/>
    </customSheetView>
    <customSheetView guid="{1718F1EE-9F48-4DBE-9531-3B70F9C4A5DD}" scale="60" showPageBreaks="1" view="pageBreakPreview">
      <selection activeCell="D4" sqref="D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B30CE22D-C12F-4E12-8BB9-3AAE0A6991CC}" scale="60" showPageBreaks="1" view="pageBreakPreview" topLeftCell="A43">
      <selection activeCell="D62" sqref="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7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8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9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10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1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12"/>
      <headerFooter alignWithMargins="0"/>
    </customSheetView>
    <customSheetView guid="{5C539BE6-C8E0-453F-AB5E-9E58094195EA}" scale="60" showPageBreaks="1" printArea="1" hiddenRows="1" view="pageBreakPreview">
      <selection activeCell="C12" sqref="C1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3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3" orientation="portrait" r:id="rId14"/>
  <headerFooter alignWithMargins="0"/>
  <rowBreaks count="2" manualBreakCount="2">
    <brk id="79" max="6" man="1"/>
    <brk id="14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A486C6EE-08B2-475E-8DA1-C3C3163412A9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5" zoomScale="70" zoomScaleNormal="100" zoomScaleSheetLayoutView="70" workbookViewId="0">
      <selection activeCell="D85" sqref="D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627" t="s">
        <v>408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633.27000999999996</v>
      </c>
      <c r="E4" s="5">
        <f>SUM(D4/C4*100)</f>
        <v>103.17708750835001</v>
      </c>
      <c r="F4" s="5">
        <f>SUM(D4-C4)</f>
        <v>19.500009999999975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81.830629999999999</v>
      </c>
      <c r="E5" s="5">
        <f t="shared" ref="E5:E47" si="0">SUM(D5/C5*100)</f>
        <v>101.02546913580245</v>
      </c>
      <c r="F5" s="5">
        <f t="shared" ref="F5:F47" si="1">SUM(D5-C5)</f>
        <v>0.83062999999999931</v>
      </c>
    </row>
    <row r="6" spans="1:6">
      <c r="A6" s="7">
        <v>1010200001</v>
      </c>
      <c r="B6" s="8" t="s">
        <v>220</v>
      </c>
      <c r="C6" s="9">
        <v>81</v>
      </c>
      <c r="D6" s="10">
        <v>81.830629999999999</v>
      </c>
      <c r="E6" s="9">
        <f t="shared" ref="E6:E11" si="2">SUM(D6/C6*100)</f>
        <v>101.02546913580245</v>
      </c>
      <c r="F6" s="9">
        <f t="shared" si="1"/>
        <v>0.83062999999999931</v>
      </c>
    </row>
    <row r="7" spans="1:6" ht="31.5">
      <c r="A7" s="3">
        <v>1030000000</v>
      </c>
      <c r="B7" s="13" t="s">
        <v>259</v>
      </c>
      <c r="C7" s="5">
        <f>C8+C10+C9</f>
        <v>286.77</v>
      </c>
      <c r="D7" s="5">
        <f>D8+D10+D9+D11</f>
        <v>339.03285</v>
      </c>
      <c r="E7" s="9">
        <f t="shared" si="2"/>
        <v>118.22465739094048</v>
      </c>
      <c r="F7" s="9">
        <f t="shared" si="1"/>
        <v>52.262850000000014</v>
      </c>
    </row>
    <row r="8" spans="1:6">
      <c r="A8" s="7">
        <v>1030223001</v>
      </c>
      <c r="B8" s="8" t="s">
        <v>261</v>
      </c>
      <c r="C8" s="9">
        <v>106.965</v>
      </c>
      <c r="D8" s="10">
        <v>169.95956000000001</v>
      </c>
      <c r="E8" s="9">
        <f t="shared" si="2"/>
        <v>158.8926845229748</v>
      </c>
      <c r="F8" s="9">
        <f t="shared" si="1"/>
        <v>62.994560000000007</v>
      </c>
    </row>
    <row r="9" spans="1:6">
      <c r="A9" s="7">
        <v>1030224001</v>
      </c>
      <c r="B9" s="8" t="s">
        <v>265</v>
      </c>
      <c r="C9" s="9">
        <v>1.147</v>
      </c>
      <c r="D9" s="10">
        <v>0.91805000000000003</v>
      </c>
      <c r="E9" s="9">
        <f t="shared" si="2"/>
        <v>80.039232781168266</v>
      </c>
      <c r="F9" s="9">
        <f t="shared" si="1"/>
        <v>-0.22894999999999999</v>
      </c>
    </row>
    <row r="10" spans="1:6">
      <c r="A10" s="7">
        <v>1030225001</v>
      </c>
      <c r="B10" s="8" t="s">
        <v>260</v>
      </c>
      <c r="C10" s="9">
        <v>178.65799999999999</v>
      </c>
      <c r="D10" s="10">
        <v>187.65454</v>
      </c>
      <c r="E10" s="9">
        <f t="shared" si="2"/>
        <v>105.03562113087577</v>
      </c>
      <c r="F10" s="9">
        <f t="shared" si="1"/>
        <v>8.9965400000000102</v>
      </c>
    </row>
    <row r="11" spans="1:6">
      <c r="A11" s="7">
        <v>1030226001</v>
      </c>
      <c r="B11" s="8" t="s">
        <v>266</v>
      </c>
      <c r="C11" s="9">
        <v>0</v>
      </c>
      <c r="D11" s="10">
        <v>-19.499300000000002</v>
      </c>
      <c r="E11" s="9" t="e">
        <f t="shared" si="2"/>
        <v>#DIV/0!</v>
      </c>
      <c r="F11" s="9">
        <f t="shared" si="1"/>
        <v>-19.499300000000002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233</v>
      </c>
      <c r="D14" s="5">
        <f>D15+D16</f>
        <v>211.30653000000001</v>
      </c>
      <c r="E14" s="5">
        <f t="shared" si="0"/>
        <v>90.68949785407726</v>
      </c>
      <c r="F14" s="5">
        <f t="shared" si="1"/>
        <v>-21.693469999999991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68.343940000000003</v>
      </c>
      <c r="E15" s="9">
        <f t="shared" si="0"/>
        <v>79.469697674418597</v>
      </c>
      <c r="F15" s="9">
        <f>SUM(D15-C15)</f>
        <v>-17.656059999999997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142.96259000000001</v>
      </c>
      <c r="E16" s="9">
        <f t="shared" si="0"/>
        <v>97.253462585034029</v>
      </c>
      <c r="F16" s="9">
        <f t="shared" si="1"/>
        <v>-4.0374099999999942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1.1000000000000001</v>
      </c>
      <c r="E17" s="9">
        <f t="shared" si="0"/>
        <v>36.666666666666671</v>
      </c>
      <c r="F17" s="5">
        <f t="shared" si="1"/>
        <v>-1.9</v>
      </c>
    </row>
    <row r="18" spans="1:6" ht="18.75" customHeight="1">
      <c r="A18" s="7">
        <v>1080402001</v>
      </c>
      <c r="B18" s="8" t="s">
        <v>219</v>
      </c>
      <c r="C18" s="9">
        <v>3</v>
      </c>
      <c r="D18" s="10">
        <v>1.1000000000000001</v>
      </c>
      <c r="E18" s="9">
        <f t="shared" si="0"/>
        <v>36.666666666666671</v>
      </c>
      <c r="F18" s="9">
        <f t="shared" si="1"/>
        <v>-1.9</v>
      </c>
    </row>
    <row r="19" spans="1:6" ht="15" hidden="1" customHeight="1">
      <c r="A19" s="7">
        <v>1080714001</v>
      </c>
      <c r="B19" s="8" t="s">
        <v>218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222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484.851</v>
      </c>
      <c r="D25" s="5">
        <f>D26+D31+D34+D29</f>
        <v>495.57823999999994</v>
      </c>
      <c r="E25" s="5">
        <f t="shared" si="0"/>
        <v>102.21248177275079</v>
      </c>
      <c r="F25" s="5">
        <f t="shared" si="1"/>
        <v>10.727239999999938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50</v>
      </c>
      <c r="D26" s="5">
        <f>D27+D28</f>
        <v>54.284680000000002</v>
      </c>
      <c r="E26" s="5">
        <f t="shared" si="0"/>
        <v>108.56935999999999</v>
      </c>
      <c r="F26" s="5">
        <f t="shared" si="1"/>
        <v>4.2846800000000016</v>
      </c>
    </row>
    <row r="27" spans="1:6" ht="22.5" customHeight="1">
      <c r="A27" s="16">
        <v>1110502000</v>
      </c>
      <c r="B27" s="17" t="s">
        <v>217</v>
      </c>
      <c r="C27" s="12">
        <v>50</v>
      </c>
      <c r="D27" s="10">
        <v>54.284680000000002</v>
      </c>
      <c r="E27" s="9">
        <f t="shared" si="0"/>
        <v>108.56935999999999</v>
      </c>
      <c r="F27" s="9">
        <f t="shared" si="1"/>
        <v>4.2846800000000016</v>
      </c>
    </row>
    <row r="28" spans="1:6" hidden="1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4.75" customHeight="1">
      <c r="A29" s="68">
        <v>1130000000</v>
      </c>
      <c r="B29" s="69" t="s">
        <v>124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22.5" customHeight="1">
      <c r="A30" s="7">
        <v>1130200000</v>
      </c>
      <c r="B30" s="8" t="s">
        <v>398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1.75" customHeight="1">
      <c r="A31" s="70">
        <v>1140000000</v>
      </c>
      <c r="B31" s="71" t="s">
        <v>125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1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0.25" customHeight="1">
      <c r="A34" s="3">
        <v>1170000000</v>
      </c>
      <c r="B34" s="13" t="s">
        <v>128</v>
      </c>
      <c r="C34" s="5">
        <f>SUM(C36)</f>
        <v>434.851</v>
      </c>
      <c r="D34" s="242">
        <f>D35+D36</f>
        <v>440.94099999999997</v>
      </c>
      <c r="E34" s="9">
        <f t="shared" si="0"/>
        <v>101.40047970454246</v>
      </c>
      <c r="F34" s="5">
        <f t="shared" si="1"/>
        <v>6.089999999999975</v>
      </c>
    </row>
    <row r="35" spans="1:11" ht="18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5.75" customHeight="1">
      <c r="A36" s="7">
        <v>1171503010</v>
      </c>
      <c r="B36" s="8" t="s">
        <v>405</v>
      </c>
      <c r="C36" s="9">
        <v>434.851</v>
      </c>
      <c r="D36" s="10">
        <v>440.94099999999997</v>
      </c>
      <c r="E36" s="9">
        <f t="shared" si="0"/>
        <v>101.40047970454246</v>
      </c>
      <c r="F36" s="9">
        <f t="shared" si="1"/>
        <v>6.089999999999975</v>
      </c>
    </row>
    <row r="37" spans="1:11" s="6" customFormat="1">
      <c r="A37" s="3">
        <v>1000000000</v>
      </c>
      <c r="B37" s="4" t="s">
        <v>16</v>
      </c>
      <c r="C37" s="125">
        <f>C25+C4</f>
        <v>1098.6210000000001</v>
      </c>
      <c r="D37" s="125">
        <f>SUM(D4,D25)</f>
        <v>1128.84825</v>
      </c>
      <c r="E37" s="5">
        <f t="shared" si="0"/>
        <v>102.75138104951571</v>
      </c>
      <c r="F37" s="5">
        <f t="shared" si="1"/>
        <v>30.227249999999913</v>
      </c>
    </row>
    <row r="38" spans="1:11" s="6" customFormat="1">
      <c r="A38" s="3">
        <v>2000000000</v>
      </c>
      <c r="B38" s="4" t="s">
        <v>17</v>
      </c>
      <c r="C38" s="187">
        <f>C39+C40+C41+C42+C43+C44</f>
        <v>6035.02927</v>
      </c>
      <c r="D38" s="187">
        <f>D39+D40+D41+D42+D43+D45+D44</f>
        <v>6035.02927</v>
      </c>
      <c r="E38" s="5">
        <f t="shared" si="0"/>
        <v>100</v>
      </c>
      <c r="F38" s="5">
        <f t="shared" si="1"/>
        <v>0</v>
      </c>
      <c r="G38" s="19"/>
    </row>
    <row r="39" spans="1:11" ht="13.5" customHeight="1">
      <c r="A39" s="16">
        <v>2021000000</v>
      </c>
      <c r="B39" s="17" t="s">
        <v>18</v>
      </c>
      <c r="C39" s="216">
        <v>1839.6</v>
      </c>
      <c r="D39" s="20">
        <v>1839.6</v>
      </c>
      <c r="E39" s="9">
        <f t="shared" si="0"/>
        <v>100</v>
      </c>
      <c r="F39" s="9">
        <f t="shared" si="1"/>
        <v>0</v>
      </c>
    </row>
    <row r="40" spans="1:11" ht="15" hidden="1" customHeight="1">
      <c r="A40" s="16">
        <v>2021500200</v>
      </c>
      <c r="B40" s="17" t="s">
        <v>223</v>
      </c>
      <c r="C40" s="213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3">
        <v>2800.9644899999998</v>
      </c>
      <c r="D41" s="10">
        <v>2800.9644899999998</v>
      </c>
      <c r="E41" s="9">
        <f t="shared" si="0"/>
        <v>100</v>
      </c>
      <c r="F41" s="9">
        <f t="shared" si="1"/>
        <v>0</v>
      </c>
    </row>
    <row r="42" spans="1:11" ht="19.5" customHeight="1">
      <c r="A42" s="16">
        <v>2023000000</v>
      </c>
      <c r="B42" s="17" t="s">
        <v>20</v>
      </c>
      <c r="C42" s="213">
        <v>108.54452999999999</v>
      </c>
      <c r="D42" s="180">
        <v>108.54452999999999</v>
      </c>
      <c r="E42" s="9">
        <f t="shared" si="0"/>
        <v>100</v>
      </c>
      <c r="F42" s="9">
        <f t="shared" si="1"/>
        <v>0</v>
      </c>
    </row>
    <row r="43" spans="1:11">
      <c r="A43" s="7">
        <v>2070500010</v>
      </c>
      <c r="B43" s="17" t="s">
        <v>281</v>
      </c>
      <c r="C43" s="213">
        <v>0</v>
      </c>
      <c r="D43" s="181"/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3">
        <v>1285.9202499999999</v>
      </c>
      <c r="D44" s="181">
        <v>1285.9202499999999</v>
      </c>
      <c r="E44" s="9">
        <f t="shared" si="0"/>
        <v>100</v>
      </c>
      <c r="F44" s="9">
        <f t="shared" si="1"/>
        <v>0</v>
      </c>
    </row>
    <row r="45" spans="1:11" ht="17.25" customHeight="1">
      <c r="A45" s="7">
        <v>2190000010</v>
      </c>
      <c r="B45" s="11" t="s">
        <v>23</v>
      </c>
      <c r="C45" s="221">
        <v>0</v>
      </c>
      <c r="D45" s="210">
        <v>0</v>
      </c>
      <c r="E45" s="5" t="e">
        <f t="shared" si="0"/>
        <v>#DIV/0!</v>
      </c>
      <c r="F45" s="5">
        <f>SUM(D45-C45)</f>
        <v>0</v>
      </c>
    </row>
    <row r="46" spans="1:11" s="372" customFormat="1" ht="17.25" customHeight="1">
      <c r="A46" s="3">
        <v>3000000000</v>
      </c>
      <c r="B46" s="13" t="s">
        <v>24</v>
      </c>
      <c r="C46" s="222">
        <v>0</v>
      </c>
      <c r="D46" s="22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67"/>
      <c r="B47" s="268" t="s">
        <v>25</v>
      </c>
      <c r="C47" s="400">
        <f>C37+C38</f>
        <v>7133.6502700000001</v>
      </c>
      <c r="D47" s="392">
        <f>D37+D38</f>
        <v>7163.87752</v>
      </c>
      <c r="E47" s="269">
        <f t="shared" si="0"/>
        <v>100.42372766894836</v>
      </c>
      <c r="F47" s="269">
        <f t="shared" si="1"/>
        <v>30.227249999999913</v>
      </c>
      <c r="G47" s="193"/>
      <c r="H47" s="193"/>
      <c r="K47" s="128"/>
    </row>
    <row r="48" spans="1:11" s="6" customFormat="1">
      <c r="A48" s="3"/>
      <c r="B48" s="21" t="s">
        <v>300</v>
      </c>
      <c r="C48" s="397">
        <f>C47-C94</f>
        <v>-761.5639599999995</v>
      </c>
      <c r="D48" s="5">
        <f>D47-D94</f>
        <v>-548.79468000000088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394</v>
      </c>
      <c r="D50" s="399" t="s">
        <v>409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1412.83718</v>
      </c>
      <c r="D52" s="22">
        <f>D54+D57+D58+D59</f>
        <v>1397.4266400000001</v>
      </c>
      <c r="E52" s="34">
        <f>SUM(D52/C52*100)</f>
        <v>98.909248693469422</v>
      </c>
      <c r="F52" s="34">
        <f>SUM(D52-C52)</f>
        <v>-15.410539999999855</v>
      </c>
    </row>
    <row r="53" spans="1:6" s="6" customFormat="1" ht="1.5" customHeight="1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1409.1871799999999</v>
      </c>
      <c r="D54" s="91">
        <v>1394.77664</v>
      </c>
      <c r="E54" s="38">
        <f>SUM(D54/C54*100)</f>
        <v>98.977386382410899</v>
      </c>
      <c r="F54" s="38">
        <f t="shared" ref="F54:F94" si="3">SUM(D54-C54)</f>
        <v>-14.410539999999855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</v>
      </c>
      <c r="D58" s="102">
        <v>0</v>
      </c>
      <c r="E58" s="38">
        <f t="shared" si="4"/>
        <v>0</v>
      </c>
      <c r="F58" s="38">
        <f t="shared" si="3"/>
        <v>-1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108.54452999999999</v>
      </c>
      <c r="D60" s="22">
        <f>D61</f>
        <v>108.54452999999999</v>
      </c>
      <c r="E60" s="34">
        <f t="shared" si="4"/>
        <v>100</v>
      </c>
      <c r="F60" s="34">
        <f t="shared" si="3"/>
        <v>0</v>
      </c>
    </row>
    <row r="61" spans="1:6">
      <c r="A61" s="43" t="s">
        <v>45</v>
      </c>
      <c r="B61" s="44" t="s">
        <v>46</v>
      </c>
      <c r="C61" s="91">
        <v>108.54452999999999</v>
      </c>
      <c r="D61" s="91">
        <v>108.54452999999999</v>
      </c>
      <c r="E61" s="38">
        <f t="shared" si="4"/>
        <v>100</v>
      </c>
      <c r="F61" s="38">
        <f t="shared" si="3"/>
        <v>0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17.321960000000001</v>
      </c>
      <c r="E62" s="34">
        <f t="shared" si="4"/>
        <v>96.233111111111114</v>
      </c>
      <c r="F62" s="34">
        <f t="shared" si="3"/>
        <v>-0.67803999999999931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>
      <c r="A66" s="46" t="s">
        <v>210</v>
      </c>
      <c r="B66" s="47" t="s">
        <v>211</v>
      </c>
      <c r="C66" s="91">
        <v>13</v>
      </c>
      <c r="D66" s="91">
        <v>12.49062</v>
      </c>
      <c r="E66" s="38">
        <f t="shared" si="4"/>
        <v>96.081692307692308</v>
      </c>
      <c r="F66" s="38">
        <f t="shared" si="3"/>
        <v>-0.50938000000000017</v>
      </c>
    </row>
    <row r="67" spans="1:7" ht="15.75" customHeight="1">
      <c r="A67" s="46" t="s">
        <v>330</v>
      </c>
      <c r="B67" s="47" t="s">
        <v>384</v>
      </c>
      <c r="C67" s="91">
        <v>2</v>
      </c>
      <c r="D67" s="91">
        <v>2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851.65995999999996</v>
      </c>
      <c r="D68" s="103">
        <f>D71+D72+D69+D70</f>
        <v>760.86120000000005</v>
      </c>
      <c r="E68" s="34">
        <f t="shared" si="4"/>
        <v>89.338613500157976</v>
      </c>
      <c r="F68" s="34">
        <f t="shared" si="3"/>
        <v>-90.798759999999902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760.86120000000005</v>
      </c>
      <c r="E71" s="38">
        <f t="shared" si="4"/>
        <v>89.338613500157976</v>
      </c>
      <c r="F71" s="38">
        <f t="shared" si="3"/>
        <v>-90.798759999999902</v>
      </c>
    </row>
    <row r="72" spans="1:7">
      <c r="A72" s="35" t="s">
        <v>63</v>
      </c>
      <c r="B72" s="39" t="s">
        <v>64</v>
      </c>
      <c r="C72" s="104">
        <v>0</v>
      </c>
      <c r="D72" s="91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5212.0375599999998</v>
      </c>
      <c r="D73" s="22">
        <f>D76+D75</f>
        <v>5136.3828700000004</v>
      </c>
      <c r="E73" s="34">
        <f t="shared" si="4"/>
        <v>98.548462302332311</v>
      </c>
      <c r="F73" s="34">
        <f t="shared" si="3"/>
        <v>-75.654689999999391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5047.4631399999998</v>
      </c>
      <c r="D75" s="91">
        <v>4990.4378900000002</v>
      </c>
      <c r="E75" s="38">
        <f t="shared" si="4"/>
        <v>98.870219585199393</v>
      </c>
      <c r="F75" s="38">
        <f t="shared" si="3"/>
        <v>-57.025249999999687</v>
      </c>
    </row>
    <row r="76" spans="1:7" ht="16.5" customHeight="1">
      <c r="A76" s="35" t="s">
        <v>71</v>
      </c>
      <c r="B76" s="39" t="s">
        <v>72</v>
      </c>
      <c r="C76" s="91">
        <v>164.57442</v>
      </c>
      <c r="D76" s="91">
        <v>145.94497999999999</v>
      </c>
      <c r="E76" s="38">
        <f t="shared" si="4"/>
        <v>88.680233538116056</v>
      </c>
      <c r="F76" s="38">
        <f t="shared" si="3"/>
        <v>-18.629440000000017</v>
      </c>
    </row>
    <row r="77" spans="1:7" s="6" customFormat="1">
      <c r="A77" s="30" t="s">
        <v>81</v>
      </c>
      <c r="B77" s="31" t="s">
        <v>82</v>
      </c>
      <c r="C77" s="22">
        <f>C78</f>
        <v>286.60000000000002</v>
      </c>
      <c r="D77" s="22">
        <f>D78</f>
        <v>286.60000000000002</v>
      </c>
      <c r="E77" s="34">
        <f t="shared" si="4"/>
        <v>100</v>
      </c>
      <c r="F77" s="34">
        <f t="shared" si="3"/>
        <v>0</v>
      </c>
    </row>
    <row r="78" spans="1:7" ht="14.25" customHeight="1">
      <c r="A78" s="35" t="s">
        <v>83</v>
      </c>
      <c r="B78" s="39" t="s">
        <v>225</v>
      </c>
      <c r="C78" s="91">
        <v>286.60000000000002</v>
      </c>
      <c r="D78" s="91">
        <v>286.60000000000002</v>
      </c>
      <c r="E78" s="38">
        <f t="shared" si="4"/>
        <v>100</v>
      </c>
      <c r="F78" s="38">
        <f t="shared" si="3"/>
        <v>0</v>
      </c>
    </row>
    <row r="79" spans="1:7" s="6" customFormat="1" ht="0.75" hidden="1" customHeight="1">
      <c r="A79" s="52">
        <v>1000</v>
      </c>
      <c r="B79" s="31" t="s">
        <v>84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85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86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87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88</v>
      </c>
      <c r="B83" s="39" t="s">
        <v>89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90</v>
      </c>
      <c r="B84" s="31" t="s">
        <v>91</v>
      </c>
      <c r="C84" s="22">
        <f>C85</f>
        <v>5.5350000000000001</v>
      </c>
      <c r="D84" s="22">
        <f>D85</f>
        <v>5.5350000000000001</v>
      </c>
      <c r="E84" s="38">
        <f t="shared" si="4"/>
        <v>100</v>
      </c>
      <c r="F84" s="22">
        <f>F85+F86+F87+F88+F89</f>
        <v>0</v>
      </c>
    </row>
    <row r="85" spans="1:7" ht="16.5" customHeight="1">
      <c r="A85" s="35" t="s">
        <v>92</v>
      </c>
      <c r="B85" s="39" t="s">
        <v>93</v>
      </c>
      <c r="C85" s="91">
        <v>5.5350000000000001</v>
      </c>
      <c r="D85" s="91">
        <v>5.5350000000000001</v>
      </c>
      <c r="E85" s="38">
        <v>0</v>
      </c>
      <c r="F85" s="38">
        <f>SUM(D85-C85)</f>
        <v>0</v>
      </c>
    </row>
    <row r="86" spans="1:7" ht="14.25" hidden="1" customHeight="1">
      <c r="A86" s="35" t="s">
        <v>94</v>
      </c>
      <c r="B86" s="39" t="s">
        <v>95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96</v>
      </c>
      <c r="B87" s="39" t="s">
        <v>97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98</v>
      </c>
      <c r="B88" s="39" t="s">
        <v>99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100</v>
      </c>
      <c r="B89" s="39" t="s">
        <v>101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109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110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111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112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113</v>
      </c>
      <c r="C94" s="386">
        <f>C52+C60+C62+C68+C73+C77+C84</f>
        <v>7895.2142299999996</v>
      </c>
      <c r="D94" s="386">
        <f>D52+D60+D62+D68+D73+D77+D79+D84+D90</f>
        <v>7712.6722000000009</v>
      </c>
      <c r="E94" s="126">
        <f t="shared" si="4"/>
        <v>97.687940761551715</v>
      </c>
      <c r="F94" s="34">
        <f t="shared" si="3"/>
        <v>-182.5420299999987</v>
      </c>
      <c r="G94" s="193"/>
    </row>
    <row r="95" spans="1:7">
      <c r="C95" s="124"/>
      <c r="D95" s="100"/>
    </row>
    <row r="96" spans="1:7" s="65" customFormat="1" ht="16.5" customHeight="1">
      <c r="A96" s="63" t="s">
        <v>114</v>
      </c>
      <c r="B96" s="63"/>
      <c r="C96" s="178"/>
      <c r="D96" s="178"/>
    </row>
    <row r="97" spans="1:3" s="65" customFormat="1" ht="20.25" customHeight="1">
      <c r="A97" s="66" t="s">
        <v>115</v>
      </c>
      <c r="B97" s="66"/>
      <c r="C97" s="65" t="s">
        <v>116</v>
      </c>
    </row>
    <row r="98" spans="1:3" ht="13.5" customHeight="1"/>
    <row r="100" spans="1:3" ht="5.25" customHeight="1"/>
    <row r="142" hidden="1"/>
  </sheetData>
  <customSheetViews>
    <customSheetView guid="{61528DAC-5C4C-48F4-ADE2-8A724B05A086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A486C6EE-08B2-475E-8DA1-C3C3163412A9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F1E84C44-1ACD-474A-BDE0-C7088DB6C590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3"/>
      <headerFooter alignWithMargins="0"/>
    </customSheetView>
    <customSheetView guid="{F85EE840-0C31-454A-8951-832C2E9E0600}" scale="70" showPageBreaks="1" printArea="1" hiddenRows="1" state="hidden" view="pageBreakPreview" topLeftCell="A29">
      <selection activeCell="D76" sqref="D76"/>
      <pageMargins left="0.74803149606299213" right="0.74803149606299213" top="0.19685039370078741" bottom="0.15748031496062992" header="0.51181102362204722" footer="0.23622047244094491"/>
      <pageSetup paperSize="9" scale="60" orientation="portrait" r:id="rId4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5"/>
      <headerFooter alignWithMargins="0"/>
    </customSheetView>
    <customSheetView guid="{1718F1EE-9F48-4DBE-9531-3B70F9C4A5DD}" scale="70" showPageBreaks="1" hiddenRows="1" view="pageBreakPreview" topLeftCell="A26">
      <selection activeCell="B36" sqref="B36"/>
      <pageMargins left="0.75" right="0.75" top="0.18" bottom="0.17" header="0.5" footer="0.25"/>
      <pageSetup paperSize="9" scale="49" orientation="portrait" r:id="rId6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7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8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9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10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12"/>
      <headerFooter alignWithMargins="0"/>
    </customSheetView>
    <customSheetView guid="{5C539BE6-C8E0-453F-AB5E-9E58094195EA}" scale="70" showPageBreaks="1" printArea="1" hiddenRows="1" view="pageBreakPreview" topLeftCell="A13">
      <selection activeCell="C44" sqref="C44"/>
      <pageMargins left="0.74803149606299213" right="0.74803149606299213" top="0.19685039370078741" bottom="0.15748031496062992" header="0.51181102362204722" footer="0.23622047244094491"/>
      <pageSetup paperSize="9" scale="60" orientation="portrait" r:id="rId13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8" zoomScale="70" zoomScaleNormal="100" zoomScaleSheetLayoutView="70" workbookViewId="0">
      <selection activeCell="C93" sqref="C9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627" t="s">
        <v>424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4985.6887399999996</v>
      </c>
      <c r="E4" s="5">
        <f>SUM(D4/C4*100)</f>
        <v>135.02569439930667</v>
      </c>
      <c r="F4" s="5">
        <f>SUM(D4-C4)</f>
        <v>1293.2887399999995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1142.71928</v>
      </c>
      <c r="E5" s="5">
        <f t="shared" ref="E5:E53" si="0">SUM(D5/C5*100)</f>
        <v>288.56547474747475</v>
      </c>
      <c r="F5" s="5">
        <f t="shared" ref="F5:F53" si="1">SUM(D5-C5)</f>
        <v>746.71928000000003</v>
      </c>
    </row>
    <row r="6" spans="1:6">
      <c r="A6" s="7">
        <v>1010200001</v>
      </c>
      <c r="B6" s="8" t="s">
        <v>220</v>
      </c>
      <c r="C6" s="9">
        <v>396</v>
      </c>
      <c r="D6" s="10">
        <v>1142.71928</v>
      </c>
      <c r="E6" s="9">
        <f t="shared" ref="E6:E11" si="2">SUM(D6/C6*100)</f>
        <v>288.56547474747475</v>
      </c>
      <c r="F6" s="9">
        <f t="shared" si="1"/>
        <v>746.71928000000003</v>
      </c>
    </row>
    <row r="7" spans="1:6" ht="31.5">
      <c r="A7" s="3">
        <v>1030000000</v>
      </c>
      <c r="B7" s="13" t="s">
        <v>259</v>
      </c>
      <c r="C7" s="5">
        <f>C8+C10+C9</f>
        <v>823.4</v>
      </c>
      <c r="D7" s="5">
        <f>D8+D10+D9+D11</f>
        <v>973.46062999999992</v>
      </c>
      <c r="E7" s="5">
        <f t="shared" si="2"/>
        <v>118.22451178042263</v>
      </c>
      <c r="F7" s="5">
        <f t="shared" si="1"/>
        <v>150.06062999999995</v>
      </c>
    </row>
    <row r="8" spans="1:6">
      <c r="A8" s="7">
        <v>1030223001</v>
      </c>
      <c r="B8" s="8" t="s">
        <v>261</v>
      </c>
      <c r="C8" s="9">
        <v>307.12799999999999</v>
      </c>
      <c r="D8" s="10">
        <v>488.0027</v>
      </c>
      <c r="E8" s="9">
        <f t="shared" si="2"/>
        <v>158.89228595243679</v>
      </c>
      <c r="F8" s="9">
        <f t="shared" si="1"/>
        <v>180.87470000000002</v>
      </c>
    </row>
    <row r="9" spans="1:6">
      <c r="A9" s="7">
        <v>1030224001</v>
      </c>
      <c r="B9" s="8" t="s">
        <v>267</v>
      </c>
      <c r="C9" s="9">
        <v>3.294</v>
      </c>
      <c r="D9" s="10">
        <v>2.63592</v>
      </c>
      <c r="E9" s="9">
        <f t="shared" si="2"/>
        <v>80.021857923497265</v>
      </c>
      <c r="F9" s="9">
        <f t="shared" si="1"/>
        <v>-0.65808</v>
      </c>
    </row>
    <row r="10" spans="1:6">
      <c r="A10" s="7">
        <v>1030225001</v>
      </c>
      <c r="B10" s="8" t="s">
        <v>260</v>
      </c>
      <c r="C10" s="9">
        <v>512.97799999999995</v>
      </c>
      <c r="D10" s="10">
        <v>538.81007999999997</v>
      </c>
      <c r="E10" s="9">
        <f t="shared" si="2"/>
        <v>105.03570913372504</v>
      </c>
      <c r="F10" s="9">
        <f t="shared" si="1"/>
        <v>25.832080000000019</v>
      </c>
    </row>
    <row r="11" spans="1:6">
      <c r="A11" s="7">
        <v>1030226001</v>
      </c>
      <c r="B11" s="8" t="s">
        <v>269</v>
      </c>
      <c r="C11" s="9">
        <v>0</v>
      </c>
      <c r="D11" s="10">
        <v>-55.98807</v>
      </c>
      <c r="E11" s="9" t="e">
        <f t="shared" si="2"/>
        <v>#DIV/0!</v>
      </c>
      <c r="F11" s="9">
        <f t="shared" si="1"/>
        <v>-55.98807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>
      <c r="A13" s="7">
        <v>1050300000</v>
      </c>
      <c r="B13" s="11" t="s">
        <v>221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2418</v>
      </c>
      <c r="D14" s="5">
        <f>D15+D16</f>
        <v>2818.8318600000002</v>
      </c>
      <c r="E14" s="5">
        <f t="shared" si="0"/>
        <v>116.57700000000003</v>
      </c>
      <c r="F14" s="5">
        <f t="shared" si="1"/>
        <v>400.83186000000023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1140.8601699999999</v>
      </c>
      <c r="E15" s="5">
        <f t="shared" si="0"/>
        <v>111.52103323558163</v>
      </c>
      <c r="F15" s="9">
        <f>SUM(D15-C15)</f>
        <v>117.86016999999993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1677.9716900000001</v>
      </c>
      <c r="E16" s="5">
        <f t="shared" si="0"/>
        <v>120.28470896057348</v>
      </c>
      <c r="F16" s="9">
        <f t="shared" si="1"/>
        <v>282.97169000000008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8.17</v>
      </c>
      <c r="E17" s="5">
        <f t="shared" si="0"/>
        <v>81.699999999999989</v>
      </c>
      <c r="F17" s="5">
        <f t="shared" si="1"/>
        <v>-1.83</v>
      </c>
    </row>
    <row r="18" spans="1:6" ht="18" customHeight="1">
      <c r="A18" s="7">
        <v>1080400001</v>
      </c>
      <c r="B18" s="8" t="s">
        <v>219</v>
      </c>
      <c r="C18" s="9">
        <v>10</v>
      </c>
      <c r="D18" s="10">
        <v>8.17</v>
      </c>
      <c r="E18" s="9">
        <f t="shared" si="0"/>
        <v>81.699999999999989</v>
      </c>
      <c r="F18" s="9">
        <f t="shared" si="1"/>
        <v>-1.83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1700.5371600000001</v>
      </c>
      <c r="E25" s="5">
        <f t="shared" si="0"/>
        <v>607.3347</v>
      </c>
      <c r="F25" s="5">
        <f t="shared" si="1"/>
        <v>1420.5371600000001</v>
      </c>
    </row>
    <row r="26" spans="1:6" s="6" customFormat="1" ht="30.75" customHeight="1">
      <c r="A26" s="68">
        <v>1110000000</v>
      </c>
      <c r="B26" s="69" t="s">
        <v>122</v>
      </c>
      <c r="C26" s="5">
        <f>C28+C29</f>
        <v>250</v>
      </c>
      <c r="D26" s="5">
        <f>D28+D29</f>
        <v>258.50299999999999</v>
      </c>
      <c r="E26" s="5">
        <f t="shared" si="0"/>
        <v>103.40119999999999</v>
      </c>
      <c r="F26" s="5">
        <f t="shared" si="1"/>
        <v>8.5029999999999859</v>
      </c>
    </row>
    <row r="27" spans="1:6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305</v>
      </c>
      <c r="C28" s="12">
        <v>200</v>
      </c>
      <c r="D28" s="10">
        <v>221</v>
      </c>
      <c r="E28" s="9">
        <f t="shared" si="0"/>
        <v>110.5</v>
      </c>
      <c r="F28" s="9">
        <f t="shared" si="1"/>
        <v>21</v>
      </c>
    </row>
    <row r="29" spans="1:6">
      <c r="A29" s="7">
        <v>1110503000</v>
      </c>
      <c r="B29" s="11" t="s">
        <v>216</v>
      </c>
      <c r="C29" s="12">
        <v>50</v>
      </c>
      <c r="D29" s="10">
        <v>37.503</v>
      </c>
      <c r="E29" s="9">
        <f>SUM(D29/C29*100)</f>
        <v>75.006</v>
      </c>
      <c r="F29" s="9">
        <f t="shared" si="1"/>
        <v>-12.497</v>
      </c>
    </row>
    <row r="30" spans="1:6" s="15" customFormat="1" ht="35.25" customHeight="1">
      <c r="A30" s="68">
        <v>1130000000</v>
      </c>
      <c r="B30" s="69" t="s">
        <v>124</v>
      </c>
      <c r="C30" s="5">
        <f>C31</f>
        <v>30</v>
      </c>
      <c r="D30" s="5">
        <f>D31+D32</f>
        <v>165.45399</v>
      </c>
      <c r="E30" s="5">
        <f t="shared" si="0"/>
        <v>551.51330000000007</v>
      </c>
      <c r="F30" s="5">
        <f t="shared" si="1"/>
        <v>135.45399</v>
      </c>
    </row>
    <row r="31" spans="1:6" ht="30" customHeight="1">
      <c r="A31" s="7">
        <v>1130206510</v>
      </c>
      <c r="B31" s="8" t="s">
        <v>395</v>
      </c>
      <c r="C31" s="9">
        <v>30</v>
      </c>
      <c r="D31" s="10">
        <v>145.78618</v>
      </c>
      <c r="E31" s="9">
        <f>SUM(D31/C31*100)</f>
        <v>485.95393333333334</v>
      </c>
      <c r="F31" s="9">
        <f t="shared" si="1"/>
        <v>115.78618</v>
      </c>
    </row>
    <row r="32" spans="1:6" ht="18" customHeight="1">
      <c r="A32" s="7">
        <v>1130299000</v>
      </c>
      <c r="B32" s="8" t="s">
        <v>307</v>
      </c>
      <c r="C32" s="9"/>
      <c r="D32" s="10">
        <v>19.667809999999999</v>
      </c>
      <c r="E32" s="9"/>
      <c r="F32" s="9"/>
    </row>
    <row r="33" spans="1:7" ht="18.75" customHeight="1">
      <c r="A33" s="70">
        <v>1140000000</v>
      </c>
      <c r="B33" s="71" t="s">
        <v>125</v>
      </c>
      <c r="C33" s="5">
        <f>C34+C35</f>
        <v>0</v>
      </c>
      <c r="D33" s="5">
        <f>D34+D35</f>
        <v>1132.1469999999999</v>
      </c>
      <c r="E33" s="5" t="e">
        <f t="shared" si="0"/>
        <v>#DIV/0!</v>
      </c>
      <c r="F33" s="5">
        <f t="shared" si="1"/>
        <v>1132.1469999999999</v>
      </c>
    </row>
    <row r="34" spans="1:7" ht="15" customHeight="1">
      <c r="A34" s="16">
        <v>1140200000</v>
      </c>
      <c r="B34" s="18" t="s">
        <v>126</v>
      </c>
      <c r="C34" s="9">
        <v>0</v>
      </c>
      <c r="D34" s="10">
        <v>562.14700000000005</v>
      </c>
      <c r="E34" s="9" t="e">
        <f t="shared" si="0"/>
        <v>#DIV/0!</v>
      </c>
      <c r="F34" s="9">
        <f t="shared" si="1"/>
        <v>562.14700000000005</v>
      </c>
    </row>
    <row r="35" spans="1:7" ht="15" customHeight="1">
      <c r="A35" s="7">
        <v>1140600000</v>
      </c>
      <c r="B35" s="8" t="s">
        <v>214</v>
      </c>
      <c r="C35" s="9">
        <v>0</v>
      </c>
      <c r="D35" s="10">
        <v>570</v>
      </c>
      <c r="E35" s="9" t="e">
        <f t="shared" si="0"/>
        <v>#DIV/0!</v>
      </c>
      <c r="F35" s="9">
        <f t="shared" si="1"/>
        <v>570</v>
      </c>
    </row>
    <row r="36" spans="1:7" ht="25.5" customHeight="1">
      <c r="A36" s="99">
        <v>1160000000</v>
      </c>
      <c r="B36" s="13" t="s">
        <v>236</v>
      </c>
      <c r="C36" s="5">
        <f>C37</f>
        <v>0</v>
      </c>
      <c r="D36" s="14">
        <f>D37</f>
        <v>144.43316999999999</v>
      </c>
      <c r="E36" s="9" t="e">
        <f t="shared" si="0"/>
        <v>#DIV/0!</v>
      </c>
      <c r="F36" s="9">
        <f t="shared" si="1"/>
        <v>144.43316999999999</v>
      </c>
    </row>
    <row r="37" spans="1:7" ht="47.25" customHeight="1">
      <c r="A37" s="7">
        <v>1160701010</v>
      </c>
      <c r="B37" s="8" t="s">
        <v>390</v>
      </c>
      <c r="C37" s="9">
        <v>0</v>
      </c>
      <c r="D37" s="10">
        <v>144.43316999999999</v>
      </c>
      <c r="E37" s="9" t="e">
        <f t="shared" si="0"/>
        <v>#DIV/0!</v>
      </c>
      <c r="F37" s="9">
        <f t="shared" si="1"/>
        <v>144.43316999999999</v>
      </c>
    </row>
    <row r="38" spans="1:7" ht="28.5" customHeight="1">
      <c r="A38" s="3">
        <v>1170000000</v>
      </c>
      <c r="B38" s="13" t="s">
        <v>128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19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15" customHeight="1">
      <c r="A40" s="7">
        <v>1170505005</v>
      </c>
      <c r="B40" s="11" t="s">
        <v>212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6686.2258999999995</v>
      </c>
      <c r="E41" s="5">
        <f t="shared" si="0"/>
        <v>168.31703504178833</v>
      </c>
      <c r="F41" s="5">
        <f t="shared" si="1"/>
        <v>2713.8258999999994</v>
      </c>
    </row>
    <row r="42" spans="1:7" s="6" customFormat="1" ht="20.25" customHeight="1">
      <c r="A42" s="3">
        <v>2000000000</v>
      </c>
      <c r="B42" s="4" t="s">
        <v>17</v>
      </c>
      <c r="C42" s="376">
        <f>C43+C44+C45+C47+C48+C46+C49</f>
        <v>55210.448759999999</v>
      </c>
      <c r="D42" s="421">
        <f>D43+D44+D45+D47+D48+D46+D49</f>
        <v>32315.880650000003</v>
      </c>
      <c r="E42" s="5">
        <f t="shared" si="0"/>
        <v>58.532182541165788</v>
      </c>
      <c r="F42" s="5">
        <f t="shared" si="1"/>
        <v>-22894.568109999997</v>
      </c>
      <c r="G42" s="19"/>
    </row>
    <row r="43" spans="1:7" ht="17.25" customHeight="1">
      <c r="A43" s="16">
        <v>2021000000</v>
      </c>
      <c r="B43" s="17" t="s">
        <v>18</v>
      </c>
      <c r="C43" s="377">
        <v>5604.2</v>
      </c>
      <c r="D43" s="378">
        <v>5604.2</v>
      </c>
      <c r="E43" s="9">
        <f t="shared" si="0"/>
        <v>100</v>
      </c>
      <c r="F43" s="9">
        <f t="shared" si="1"/>
        <v>0</v>
      </c>
    </row>
    <row r="44" spans="1:7" ht="27.75" hidden="1" customHeight="1">
      <c r="A44" s="16">
        <v>2021500200</v>
      </c>
      <c r="B44" s="17" t="s">
        <v>223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47116.958250000003</v>
      </c>
      <c r="D45" s="10">
        <v>25825.013040000002</v>
      </c>
      <c r="E45" s="9">
        <f t="shared" si="0"/>
        <v>54.810441928305075</v>
      </c>
      <c r="F45" s="9">
        <f t="shared" si="1"/>
        <v>-21291.945210000002</v>
      </c>
    </row>
    <row r="46" spans="1:7" ht="23.25" hidden="1" customHeight="1">
      <c r="A46" s="16">
        <v>2022999910</v>
      </c>
      <c r="B46" s="18" t="s">
        <v>322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309.01751000000002</v>
      </c>
      <c r="D47" s="180">
        <v>309.01751000000002</v>
      </c>
      <c r="E47" s="9">
        <f t="shared" si="0"/>
        <v>100</v>
      </c>
      <c r="F47" s="9">
        <f t="shared" si="1"/>
        <v>0</v>
      </c>
    </row>
    <row r="48" spans="1:7" ht="15.75" customHeight="1">
      <c r="A48" s="16">
        <v>2024000000</v>
      </c>
      <c r="B48" s="17" t="s">
        <v>21</v>
      </c>
      <c r="C48" s="12">
        <v>2180.2730000000001</v>
      </c>
      <c r="D48" s="181">
        <v>577.65009999999995</v>
      </c>
      <c r="E48" s="9">
        <f t="shared" si="0"/>
        <v>26.49439313333697</v>
      </c>
      <c r="F48" s="9">
        <f t="shared" si="1"/>
        <v>-1602.6229000000003</v>
      </c>
    </row>
    <row r="49" spans="1:8" ht="16.5" customHeight="1">
      <c r="A49" s="7">
        <v>2070500010</v>
      </c>
      <c r="B49" s="17" t="s">
        <v>323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3"/>
      <c r="D50" s="262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1">
        <v>0</v>
      </c>
      <c r="D51" s="261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4">
        <v>0</v>
      </c>
      <c r="D52" s="261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4">
        <f>SUM(C41,C42,C52)</f>
        <v>59182.848760000001</v>
      </c>
      <c r="D53" s="393">
        <f>D41+D42</f>
        <v>39002.106550000004</v>
      </c>
      <c r="E53" s="5">
        <f t="shared" si="0"/>
        <v>65.901029381269694</v>
      </c>
      <c r="F53" s="5">
        <f t="shared" si="1"/>
        <v>-20180.742209999997</v>
      </c>
      <c r="G53" s="93"/>
      <c r="H53" s="93"/>
    </row>
    <row r="54" spans="1:8" s="6" customFormat="1">
      <c r="A54" s="3"/>
      <c r="B54" s="21" t="s">
        <v>299</v>
      </c>
      <c r="C54" s="5">
        <f>C53-C102</f>
        <v>-1794.7397900000069</v>
      </c>
      <c r="D54" s="5">
        <f>D53-D102</f>
        <v>1929.6900700000042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01">
        <f>C59+C60+C61+C62+C63+C65+C64</f>
        <v>2166.48621</v>
      </c>
      <c r="D58" s="101">
        <f>D59+D60+D61+D62+D63+D65+D64</f>
        <v>1969.2427499999999</v>
      </c>
      <c r="E58" s="34">
        <f>SUM(D58/C58*100)</f>
        <v>90.895697415955397</v>
      </c>
      <c r="F58" s="34">
        <f>SUM(D58-C58)</f>
        <v>-197.24346000000014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2123.1742100000001</v>
      </c>
      <c r="D60" s="91">
        <v>1956.93075</v>
      </c>
      <c r="E60" s="38">
        <f t="shared" ref="E60:E102" si="3">SUM(D60/C60*100)</f>
        <v>92.170050897519147</v>
      </c>
      <c r="F60" s="38">
        <f t="shared" ref="F60:F102" si="4">SUM(D60-C60)</f>
        <v>-166.24346000000014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</v>
      </c>
      <c r="D64" s="102">
        <v>0</v>
      </c>
      <c r="E64" s="38">
        <f t="shared" si="3"/>
        <v>0</v>
      </c>
      <c r="F64" s="38">
        <f t="shared" si="4"/>
        <v>-1</v>
      </c>
    </row>
    <row r="65" spans="1:7" ht="18" customHeight="1">
      <c r="A65" s="35" t="s">
        <v>41</v>
      </c>
      <c r="B65" s="39" t="s">
        <v>42</v>
      </c>
      <c r="C65" s="91">
        <v>42.311999999999998</v>
      </c>
      <c r="D65" s="91">
        <v>12.311999999999999</v>
      </c>
      <c r="E65" s="38">
        <f t="shared" si="3"/>
        <v>29.098128190584234</v>
      </c>
      <c r="F65" s="38">
        <f t="shared" si="4"/>
        <v>-30</v>
      </c>
    </row>
    <row r="66" spans="1:7" s="6" customFormat="1" ht="15.75" customHeight="1">
      <c r="A66" s="41" t="s">
        <v>43</v>
      </c>
      <c r="B66" s="42" t="s">
        <v>44</v>
      </c>
      <c r="C66" s="402">
        <f>C67</f>
        <v>273.28600999999998</v>
      </c>
      <c r="D66" s="22">
        <f>D67</f>
        <v>273.28600999999998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91">
        <v>273.28600999999998</v>
      </c>
      <c r="D67" s="91">
        <v>273.28600999999998</v>
      </c>
      <c r="E67" s="38">
        <f t="shared" si="3"/>
        <v>100</v>
      </c>
      <c r="F67" s="38">
        <f t="shared" si="4"/>
        <v>0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16.631340000000002</v>
      </c>
      <c r="D68" s="22">
        <f>D71+D73+D72</f>
        <v>16.631340000000002</v>
      </c>
      <c r="E68" s="34">
        <f t="shared" si="3"/>
        <v>100</v>
      </c>
      <c r="F68" s="34">
        <f t="shared" si="4"/>
        <v>0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7.6313399999999998</v>
      </c>
      <c r="D71" s="91">
        <v>7.6313399999999998</v>
      </c>
      <c r="E71" s="34">
        <f t="shared" si="3"/>
        <v>100</v>
      </c>
      <c r="F71" s="34">
        <f t="shared" si="4"/>
        <v>0</v>
      </c>
    </row>
    <row r="72" spans="1:7" ht="15.75" customHeight="1">
      <c r="A72" s="46" t="s">
        <v>210</v>
      </c>
      <c r="B72" s="47" t="s">
        <v>211</v>
      </c>
      <c r="C72" s="91">
        <v>7</v>
      </c>
      <c r="D72" s="91">
        <v>7</v>
      </c>
      <c r="E72" s="38">
        <f t="shared" ref="E72" si="5">SUM(D72/C72*100)</f>
        <v>100</v>
      </c>
      <c r="F72" s="38">
        <f t="shared" ref="F72" si="6">SUM(D72-C72)</f>
        <v>0</v>
      </c>
    </row>
    <row r="73" spans="1:7" ht="15.75" customHeight="1">
      <c r="A73" s="46" t="s">
        <v>330</v>
      </c>
      <c r="B73" s="47" t="s">
        <v>331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374" t="s">
        <v>55</v>
      </c>
      <c r="B74" s="31" t="s">
        <v>56</v>
      </c>
      <c r="C74" s="403">
        <f>C76+C77+C78+C75</f>
        <v>2844.9801499999999</v>
      </c>
      <c r="D74" s="103">
        <f>SUM(D75:D78)</f>
        <v>2513.65515</v>
      </c>
      <c r="E74" s="34">
        <f t="shared" si="3"/>
        <v>88.354048797141886</v>
      </c>
      <c r="F74" s="34">
        <f t="shared" si="4"/>
        <v>-331.32499999999982</v>
      </c>
    </row>
    <row r="75" spans="1:7" ht="15" customHeight="1">
      <c r="A75" s="35" t="s">
        <v>57</v>
      </c>
      <c r="B75" s="39" t="s">
        <v>58</v>
      </c>
      <c r="C75" s="104">
        <v>35.731499999999997</v>
      </c>
      <c r="D75" s="91">
        <v>35.731499999999997</v>
      </c>
      <c r="E75" s="38">
        <f t="shared" si="3"/>
        <v>100</v>
      </c>
      <c r="F75" s="38">
        <f t="shared" si="4"/>
        <v>0</v>
      </c>
    </row>
    <row r="76" spans="1:7" s="6" customFormat="1" ht="15.75" customHeight="1">
      <c r="A76" s="35" t="s">
        <v>59</v>
      </c>
      <c r="B76" s="39" t="s">
        <v>60</v>
      </c>
      <c r="C76" s="104">
        <v>60</v>
      </c>
      <c r="D76" s="91">
        <v>60</v>
      </c>
      <c r="E76" s="38">
        <f t="shared" si="3"/>
        <v>100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2382.9236500000002</v>
      </c>
      <c r="E77" s="38">
        <f t="shared" si="3"/>
        <v>87.793122785563511</v>
      </c>
      <c r="F77" s="38">
        <f t="shared" si="4"/>
        <v>-331.32499999999982</v>
      </c>
    </row>
    <row r="78" spans="1:7">
      <c r="A78" s="35" t="s">
        <v>63</v>
      </c>
      <c r="B78" s="39" t="s">
        <v>64</v>
      </c>
      <c r="C78" s="104">
        <v>35</v>
      </c>
      <c r="D78" s="91">
        <v>35</v>
      </c>
      <c r="E78" s="38">
        <f t="shared" si="3"/>
        <v>100</v>
      </c>
      <c r="F78" s="38">
        <f t="shared" si="4"/>
        <v>0</v>
      </c>
    </row>
    <row r="79" spans="1:7" s="6" customFormat="1" ht="24" customHeight="1">
      <c r="A79" s="30" t="s">
        <v>65</v>
      </c>
      <c r="B79" s="31" t="s">
        <v>66</v>
      </c>
      <c r="C79" s="404">
        <f>SUM(C80:C83)</f>
        <v>52464.654540000003</v>
      </c>
      <c r="D79" s="22">
        <f>SUM(D80:D83)</f>
        <v>29146.558089999999</v>
      </c>
      <c r="E79" s="34">
        <f t="shared" si="3"/>
        <v>55.554655501978253</v>
      </c>
      <c r="F79" s="34">
        <f t="shared" si="4"/>
        <v>-23318.096450000005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32112.905129999999</v>
      </c>
      <c r="D81" s="91">
        <v>8894.8761400000003</v>
      </c>
      <c r="E81" s="38">
        <f t="shared" si="3"/>
        <v>27.698758813603487</v>
      </c>
      <c r="F81" s="38">
        <f t="shared" si="4"/>
        <v>-23218.028989999999</v>
      </c>
    </row>
    <row r="82" spans="1:6" ht="15" customHeight="1">
      <c r="A82" s="35" t="s">
        <v>71</v>
      </c>
      <c r="B82" s="39" t="s">
        <v>72</v>
      </c>
      <c r="C82" s="91">
        <v>20351.74941</v>
      </c>
      <c r="D82" s="91">
        <v>20251.681949999998</v>
      </c>
      <c r="E82" s="38">
        <f t="shared" si="3"/>
        <v>99.508310278472507</v>
      </c>
      <c r="F82" s="38">
        <f t="shared" si="4"/>
        <v>-100.06746000000203</v>
      </c>
    </row>
    <row r="83" spans="1:6" ht="18" hidden="1" customHeight="1">
      <c r="A83" s="35" t="s">
        <v>247</v>
      </c>
      <c r="B83" s="39" t="s">
        <v>248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81</v>
      </c>
      <c r="B84" s="31" t="s">
        <v>82</v>
      </c>
      <c r="C84" s="22">
        <f>C85+C86</f>
        <v>3211.5502999999999</v>
      </c>
      <c r="D84" s="22">
        <f>D85+D86</f>
        <v>3153.0431400000002</v>
      </c>
      <c r="E84" s="34">
        <f t="shared" si="3"/>
        <v>98.178226883134926</v>
      </c>
      <c r="F84" s="34">
        <f t="shared" si="4"/>
        <v>-58.507159999999658</v>
      </c>
    </row>
    <row r="85" spans="1:6" ht="14.25" customHeight="1">
      <c r="A85" s="35" t="s">
        <v>83</v>
      </c>
      <c r="B85" s="39" t="s">
        <v>225</v>
      </c>
      <c r="C85" s="91">
        <v>3211.5502999999999</v>
      </c>
      <c r="D85" s="91">
        <v>3153.0431400000002</v>
      </c>
      <c r="E85" s="38">
        <f t="shared" si="3"/>
        <v>98.178226883134926</v>
      </c>
      <c r="F85" s="38">
        <f t="shared" si="4"/>
        <v>-58.507159999999658</v>
      </c>
    </row>
    <row r="86" spans="1:6" ht="14.25" hidden="1" customHeight="1">
      <c r="A86" s="35" t="s">
        <v>254</v>
      </c>
      <c r="B86" s="39" t="s">
        <v>255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84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85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86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87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88</v>
      </c>
      <c r="B91" s="39" t="s">
        <v>89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90</v>
      </c>
      <c r="B92" s="31" t="s">
        <v>91</v>
      </c>
      <c r="C92" s="22">
        <f>C93+C94+C95+C96+C97</f>
        <v>0</v>
      </c>
      <c r="D92" s="22">
        <f>D93+D94+D95+D96+D97</f>
        <v>0</v>
      </c>
      <c r="E92" s="34" t="e">
        <f t="shared" si="3"/>
        <v>#DIV/0!</v>
      </c>
      <c r="F92" s="22">
        <f>F93+F94+F95+F96+F97</f>
        <v>0</v>
      </c>
    </row>
    <row r="93" spans="1:6" ht="15.75" customHeight="1">
      <c r="A93" s="35" t="s">
        <v>92</v>
      </c>
      <c r="B93" s="39" t="s">
        <v>93</v>
      </c>
      <c r="C93" s="91">
        <v>0</v>
      </c>
      <c r="D93" s="91">
        <v>0</v>
      </c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94</v>
      </c>
      <c r="B94" s="39" t="s">
        <v>95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96</v>
      </c>
      <c r="B95" s="39" t="s">
        <v>97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98</v>
      </c>
      <c r="B96" s="39" t="s">
        <v>99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100</v>
      </c>
      <c r="B97" s="39" t="s">
        <v>101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109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110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111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112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113</v>
      </c>
      <c r="C102" s="386">
        <f>C58+C66+C68+C74+C79+C84+C92+C87+C98</f>
        <v>60977.588550000008</v>
      </c>
      <c r="D102" s="386">
        <f>D58+D66+D68+D74+D79+D84+D92+D87+D98</f>
        <v>37072.41648</v>
      </c>
      <c r="E102" s="34">
        <f t="shared" si="3"/>
        <v>60.796790036394434</v>
      </c>
      <c r="F102" s="34">
        <f t="shared" si="4"/>
        <v>-23905.172070000008</v>
      </c>
      <c r="G102" s="93"/>
    </row>
    <row r="103" spans="1:7" ht="5.25" customHeight="1">
      <c r="D103" s="61"/>
    </row>
    <row r="104" spans="1:7" s="65" customFormat="1" ht="12.75">
      <c r="A104" s="63" t="s">
        <v>114</v>
      </c>
      <c r="B104" s="63"/>
      <c r="C104" s="131"/>
      <c r="D104" s="64"/>
    </row>
    <row r="105" spans="1:7" s="65" customFormat="1" ht="12.75">
      <c r="A105" s="66" t="s">
        <v>115</v>
      </c>
      <c r="B105" s="66"/>
      <c r="C105" s="131" t="s">
        <v>116</v>
      </c>
    </row>
    <row r="143" hidden="1"/>
  </sheetData>
  <customSheetViews>
    <customSheetView guid="{61528DAC-5C4C-48F4-ADE2-8A724B05A086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/>
    </customSheetView>
    <customSheetView guid="{A486C6EE-08B2-475E-8DA1-C3C3163412A9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2"/>
      <headerFooter alignWithMargins="0"/>
    </customSheetView>
    <customSheetView guid="{F1E84C44-1ACD-474A-BDE0-C7088DB6C590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3"/>
      <headerFooter alignWithMargins="0"/>
    </customSheetView>
    <customSheetView guid="{F85EE840-0C31-454A-8951-832C2E9E0600}" scale="70" showPageBreaks="1" printArea="1" hiddenRows="1" state="hidden" view="pageBreakPreview" topLeftCell="A31">
      <selection activeCell="D47" sqref="D47"/>
      <pageMargins left="0.74803149606299213" right="0.74803149606299213" top="0.98425196850393704" bottom="0.98425196850393704" header="0.51181102362204722" footer="0.51181102362204722"/>
      <pageSetup paperSize="9" scale="50" orientation="portrait" r:id="rId4"/>
      <headerFooter alignWithMargins="0"/>
    </customSheetView>
    <customSheetView guid="{3DCB9AAA-F09C-4EA6-B992-F93E466D374A}" hiddenRows="1" topLeftCell="A53">
      <selection activeCell="B100" sqref="B100"/>
      <pageMargins left="0.75" right="0.75" top="1" bottom="1" header="0.5" footer="0.5"/>
      <pageSetup paperSize="9" scale="46" orientation="portrait" r:id="rId5"/>
      <headerFooter alignWithMargins="0"/>
    </customSheetView>
    <customSheetView guid="{1718F1EE-9F48-4DBE-9531-3B70F9C4A5DD}" scale="70" showPageBreaks="1" hiddenRows="1" view="pageBreakPreview" topLeftCell="A40">
      <selection activeCell="C93" sqref="C93"/>
      <pageMargins left="0.75" right="0.75" top="1" bottom="1" header="0.5" footer="0.5"/>
      <pageSetup paperSize="9" scale="36" orientation="portrait" r:id="rId6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7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8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9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10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11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12"/>
      <headerFooter alignWithMargins="0"/>
    </customSheetView>
    <customSheetView guid="{5C539BE6-C8E0-453F-AB5E-9E58094195EA}" scale="70" showPageBreaks="1" printArea="1" hiddenRows="1" view="pageBreakPreview">
      <selection activeCell="D74" sqref="D74"/>
      <pageMargins left="0.74803149606299213" right="0.74803149606299213" top="0.98425196850393704" bottom="0.98425196850393704" header="0.51181102362204722" footer="0.51181102362204722"/>
      <pageSetup paperSize="9" scale="50" orientation="portrait" r:id="rId13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2"/>
  <sheetViews>
    <sheetView view="pageBreakPreview" topLeftCell="A4" zoomScale="70" zoomScaleNormal="100" zoomScaleSheetLayoutView="70" workbookViewId="0">
      <selection activeCell="D29" sqref="D29"/>
    </sheetView>
  </sheetViews>
  <sheetFormatPr defaultRowHeight="15.75"/>
  <cols>
    <col min="1" max="1" width="15.14062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627" t="s">
        <v>423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2285.5608700000003</v>
      </c>
      <c r="E4" s="5">
        <f>SUM(D4/C4*100)</f>
        <v>103.51412700353721</v>
      </c>
      <c r="F4" s="5">
        <f>SUM(D4-C4)</f>
        <v>77.59087000000045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65.119870000000006</v>
      </c>
      <c r="E5" s="5">
        <f t="shared" ref="E5:E51" si="0">SUM(D5/C5*100)</f>
        <v>54.266558333333336</v>
      </c>
      <c r="F5" s="5">
        <f t="shared" ref="F5:F51" si="1">SUM(D5-C5)</f>
        <v>-54.880129999999994</v>
      </c>
    </row>
    <row r="6" spans="1:6">
      <c r="A6" s="7">
        <v>1010200001</v>
      </c>
      <c r="B6" s="8" t="s">
        <v>220</v>
      </c>
      <c r="C6" s="9">
        <v>120</v>
      </c>
      <c r="D6" s="10">
        <v>65.119870000000006</v>
      </c>
      <c r="E6" s="9">
        <f t="shared" ref="E6:E11" si="2">SUM(D6/C6*100)</f>
        <v>54.266558333333336</v>
      </c>
      <c r="F6" s="9">
        <f t="shared" si="1"/>
        <v>-54.880129999999994</v>
      </c>
    </row>
    <row r="7" spans="1:6" ht="31.5">
      <c r="A7" s="3">
        <v>1030000000</v>
      </c>
      <c r="B7" s="13" t="s">
        <v>259</v>
      </c>
      <c r="C7" s="5">
        <f>C8+C10+C9</f>
        <v>777.96999999999991</v>
      </c>
      <c r="D7" s="5">
        <f>D8+D10+D9+D11</f>
        <v>919.75250999999992</v>
      </c>
      <c r="E7" s="9">
        <f t="shared" si="2"/>
        <v>118.22467575870535</v>
      </c>
      <c r="F7" s="9">
        <f t="shared" si="1"/>
        <v>141.78251</v>
      </c>
    </row>
    <row r="8" spans="1:6">
      <c r="A8" s="7">
        <v>1030223001</v>
      </c>
      <c r="B8" s="8" t="s">
        <v>261</v>
      </c>
      <c r="C8" s="9">
        <v>290.18299999999999</v>
      </c>
      <c r="D8" s="10">
        <v>461.07841000000002</v>
      </c>
      <c r="E8" s="9">
        <f t="shared" si="2"/>
        <v>158.89228865922541</v>
      </c>
      <c r="F8" s="9">
        <f t="shared" si="1"/>
        <v>170.89541000000003</v>
      </c>
    </row>
    <row r="9" spans="1:6">
      <c r="A9" s="7">
        <v>1030224001</v>
      </c>
      <c r="B9" s="8" t="s">
        <v>267</v>
      </c>
      <c r="C9" s="9">
        <v>3.1120000000000001</v>
      </c>
      <c r="D9" s="10">
        <v>2.4905499999999998</v>
      </c>
      <c r="E9" s="9">
        <f t="shared" si="2"/>
        <v>80.030526992287903</v>
      </c>
      <c r="F9" s="9">
        <f t="shared" si="1"/>
        <v>-0.62145000000000028</v>
      </c>
    </row>
    <row r="10" spans="1:6">
      <c r="A10" s="7">
        <v>1030225001</v>
      </c>
      <c r="B10" s="8" t="s">
        <v>260</v>
      </c>
      <c r="C10" s="9">
        <v>484.67500000000001</v>
      </c>
      <c r="D10" s="10">
        <v>509.08262999999999</v>
      </c>
      <c r="E10" s="9">
        <f t="shared" si="2"/>
        <v>105.03587558673337</v>
      </c>
      <c r="F10" s="9">
        <f t="shared" si="1"/>
        <v>24.407629999999983</v>
      </c>
    </row>
    <row r="11" spans="1:6">
      <c r="A11" s="7">
        <v>1030226001</v>
      </c>
      <c r="B11" s="8" t="s">
        <v>269</v>
      </c>
      <c r="C11" s="9">
        <v>0</v>
      </c>
      <c r="D11" s="10">
        <v>-52.899079999999998</v>
      </c>
      <c r="E11" s="9" t="e">
        <f t="shared" si="2"/>
        <v>#DIV/0!</v>
      </c>
      <c r="F11" s="9">
        <f t="shared" si="1"/>
        <v>-52.899079999999998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2.7930000000000001</v>
      </c>
      <c r="E12" s="5">
        <f t="shared" si="0"/>
        <v>27.93</v>
      </c>
      <c r="F12" s="5">
        <f t="shared" si="1"/>
        <v>-7.2069999999999999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2.7930000000000001</v>
      </c>
      <c r="E13" s="9">
        <f t="shared" si="0"/>
        <v>27.93</v>
      </c>
      <c r="F13" s="9">
        <f t="shared" si="1"/>
        <v>-7.2069999999999999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1296</v>
      </c>
      <c r="D14" s="5">
        <f>D15+D16</f>
        <v>1294.8454900000002</v>
      </c>
      <c r="E14" s="5">
        <f t="shared" si="0"/>
        <v>99.910917438271625</v>
      </c>
      <c r="F14" s="5">
        <f t="shared" si="1"/>
        <v>-1.1545099999998456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463.41651000000002</v>
      </c>
      <c r="E15" s="9">
        <f t="shared" si="0"/>
        <v>114.14199753694582</v>
      </c>
      <c r="F15" s="9">
        <f>SUM(D15-C15)</f>
        <v>57.416510000000017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831.42898000000002</v>
      </c>
      <c r="E16" s="9">
        <f t="shared" si="0"/>
        <v>93.418986516853934</v>
      </c>
      <c r="F16" s="9">
        <f t="shared" si="1"/>
        <v>-58.571019999999976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3.05</v>
      </c>
      <c r="E17" s="5">
        <f t="shared" si="0"/>
        <v>76.25</v>
      </c>
      <c r="F17" s="5">
        <f t="shared" si="1"/>
        <v>-0.95000000000000018</v>
      </c>
    </row>
    <row r="18" spans="1:6" ht="21.75" customHeight="1">
      <c r="A18" s="7">
        <v>1080400001</v>
      </c>
      <c r="B18" s="8" t="s">
        <v>219</v>
      </c>
      <c r="C18" s="9">
        <v>4</v>
      </c>
      <c r="D18" s="10">
        <v>3.05</v>
      </c>
      <c r="E18" s="9">
        <f t="shared" si="0"/>
        <v>76.25</v>
      </c>
      <c r="F18" s="9">
        <f t="shared" si="1"/>
        <v>-0.95000000000000018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1419.11814</v>
      </c>
      <c r="D25" s="5">
        <f>D26+D30+D33+D39+D36</f>
        <v>1274.4343799999999</v>
      </c>
      <c r="E25" s="5">
        <f t="shared" si="0"/>
        <v>89.804671230543207</v>
      </c>
      <c r="F25" s="5">
        <f t="shared" si="1"/>
        <v>-144.68376000000012</v>
      </c>
    </row>
    <row r="26" spans="1:6" s="6" customFormat="1" ht="30" customHeight="1">
      <c r="A26" s="68">
        <v>1110000000</v>
      </c>
      <c r="B26" s="69" t="s">
        <v>122</v>
      </c>
      <c r="C26" s="5">
        <f>C27+C28+C29</f>
        <v>270</v>
      </c>
      <c r="D26" s="5">
        <f>D27+D28+D29</f>
        <v>330.41820999999999</v>
      </c>
      <c r="E26" s="5">
        <f t="shared" si="0"/>
        <v>122.37711481481482</v>
      </c>
      <c r="F26" s="5">
        <f t="shared" si="1"/>
        <v>60.418209999999988</v>
      </c>
    </row>
    <row r="27" spans="1:6">
      <c r="A27" s="16">
        <v>1110501101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278</v>
      </c>
      <c r="C28" s="12">
        <v>250</v>
      </c>
      <c r="D28" s="10">
        <v>284.21055999999999</v>
      </c>
      <c r="E28" s="9">
        <f t="shared" si="0"/>
        <v>113.684224</v>
      </c>
      <c r="F28" s="9">
        <f t="shared" si="1"/>
        <v>34.210559999999987</v>
      </c>
    </row>
    <row r="29" spans="1:6" ht="18" customHeight="1">
      <c r="A29" s="7">
        <v>1110503505</v>
      </c>
      <c r="B29" s="11" t="s">
        <v>216</v>
      </c>
      <c r="C29" s="12">
        <v>20</v>
      </c>
      <c r="D29" s="10">
        <v>46.207650000000001</v>
      </c>
      <c r="E29" s="9">
        <f t="shared" si="0"/>
        <v>231.03825000000003</v>
      </c>
      <c r="F29" s="9">
        <f t="shared" si="1"/>
        <v>26.207650000000001</v>
      </c>
    </row>
    <row r="30" spans="1:6" s="15" customFormat="1" ht="15.75" customHeight="1">
      <c r="A30" s="68">
        <v>1130000000</v>
      </c>
      <c r="B30" s="69" t="s">
        <v>124</v>
      </c>
      <c r="C30" s="5">
        <f>C31</f>
        <v>30</v>
      </c>
      <c r="D30" s="5">
        <f>D31+D32</f>
        <v>85.460000000000008</v>
      </c>
      <c r="E30" s="5">
        <f t="shared" si="0"/>
        <v>284.86666666666667</v>
      </c>
      <c r="F30" s="5">
        <f t="shared" si="1"/>
        <v>55.460000000000008</v>
      </c>
    </row>
    <row r="31" spans="1:6" ht="15" customHeight="1">
      <c r="A31" s="7">
        <v>1130206510</v>
      </c>
      <c r="B31" s="8" t="s">
        <v>395</v>
      </c>
      <c r="C31" s="9">
        <v>30</v>
      </c>
      <c r="D31" s="10">
        <v>81.84</v>
      </c>
      <c r="E31" s="9">
        <f t="shared" si="0"/>
        <v>272.8</v>
      </c>
      <c r="F31" s="9">
        <f t="shared" si="1"/>
        <v>51.84</v>
      </c>
    </row>
    <row r="32" spans="1:6" ht="14.25" customHeight="1">
      <c r="A32" s="7">
        <v>1130299000</v>
      </c>
      <c r="B32" s="8" t="s">
        <v>307</v>
      </c>
      <c r="C32" s="9">
        <v>0</v>
      </c>
      <c r="D32" s="10">
        <v>3.62</v>
      </c>
      <c r="E32" s="9" t="e">
        <f t="shared" si="0"/>
        <v>#DIV/0!</v>
      </c>
      <c r="F32" s="9">
        <f t="shared" si="1"/>
        <v>3.62</v>
      </c>
    </row>
    <row r="33" spans="1:7" ht="14.25" customHeight="1">
      <c r="A33" s="70">
        <v>1140000000</v>
      </c>
      <c r="B33" s="71" t="s">
        <v>125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2.75" customHeight="1">
      <c r="A34" s="16">
        <v>1140200000</v>
      </c>
      <c r="B34" s="18" t="s">
        <v>126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4.25" hidden="1" customHeight="1">
      <c r="A35" s="7">
        <v>1140600000</v>
      </c>
      <c r="B35" s="8" t="s">
        <v>214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7.25" customHeight="1">
      <c r="A36" s="3">
        <v>1160000000</v>
      </c>
      <c r="B36" s="13" t="s">
        <v>236</v>
      </c>
      <c r="C36" s="5">
        <f>C38+C37</f>
        <v>82.901759999999996</v>
      </c>
      <c r="D36" s="5">
        <f>D38+D37</f>
        <v>85.202449999999999</v>
      </c>
      <c r="E36" s="5">
        <f t="shared" si="0"/>
        <v>102.77520043000294</v>
      </c>
      <c r="F36" s="5">
        <f t="shared" si="1"/>
        <v>2.300690000000003</v>
      </c>
    </row>
    <row r="37" spans="1:7" ht="15" customHeight="1">
      <c r="A37" s="7">
        <v>1160701000</v>
      </c>
      <c r="B37" s="8" t="s">
        <v>404</v>
      </c>
      <c r="C37" s="9">
        <v>82.901759999999996</v>
      </c>
      <c r="D37" s="9">
        <v>85.202449999999999</v>
      </c>
      <c r="E37" s="9">
        <f>SUM(D37/C37*100)</f>
        <v>102.77520043000294</v>
      </c>
      <c r="F37" s="9">
        <f>SUM(D37-C37)</f>
        <v>2.300690000000003</v>
      </c>
    </row>
    <row r="38" spans="1:7" ht="17.25" hidden="1" customHeight="1">
      <c r="A38" s="7">
        <v>1169005010</v>
      </c>
      <c r="B38" s="8" t="s">
        <v>301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15.75" customHeight="1">
      <c r="A39" s="3">
        <v>1170000000</v>
      </c>
      <c r="B39" s="13" t="s">
        <v>128</v>
      </c>
      <c r="C39" s="5">
        <f>SUM(C40)</f>
        <v>1036.2163800000001</v>
      </c>
      <c r="D39" s="5">
        <f>SUM(D40)</f>
        <v>773.35371999999995</v>
      </c>
      <c r="E39" s="9">
        <f t="shared" si="0"/>
        <v>74.632454661641219</v>
      </c>
      <c r="F39" s="5">
        <f t="shared" si="1"/>
        <v>-262.86266000000012</v>
      </c>
    </row>
    <row r="40" spans="1:7" ht="31.5">
      <c r="A40" s="7">
        <v>1171503010</v>
      </c>
      <c r="B40" s="8" t="s">
        <v>405</v>
      </c>
      <c r="C40" s="9">
        <v>1036.2163800000001</v>
      </c>
      <c r="D40" s="9">
        <v>773.35371999999995</v>
      </c>
      <c r="E40" s="9">
        <f t="shared" si="0"/>
        <v>74.632454661641219</v>
      </c>
      <c r="F40" s="9">
        <f t="shared" si="1"/>
        <v>-262.86266000000012</v>
      </c>
    </row>
    <row r="41" spans="1:7" s="6" customFormat="1" ht="15" customHeight="1">
      <c r="A41" s="3">
        <v>1000000000</v>
      </c>
      <c r="B41" s="4" t="s">
        <v>16</v>
      </c>
      <c r="C41" s="125">
        <f>SUM(C4,C25)</f>
        <v>3627.0881399999998</v>
      </c>
      <c r="D41" s="125">
        <f>D4+D25</f>
        <v>3559.9952499999999</v>
      </c>
      <c r="E41" s="5">
        <f t="shared" si="0"/>
        <v>98.150227195747163</v>
      </c>
      <c r="F41" s="5">
        <f t="shared" si="1"/>
        <v>-67.092889999999898</v>
      </c>
    </row>
    <row r="42" spans="1:7" s="6" customFormat="1">
      <c r="A42" s="3">
        <v>2000000000</v>
      </c>
      <c r="B42" s="4" t="s">
        <v>17</v>
      </c>
      <c r="C42" s="224">
        <f>C43+C45+C47+C48+C49+C50+C44+C46</f>
        <v>15010.93842</v>
      </c>
      <c r="D42" s="247">
        <f>D43+D45+D47+D48+D49+D50+D44+D46</f>
        <v>13718.994060000001</v>
      </c>
      <c r="E42" s="5">
        <f t="shared" si="0"/>
        <v>91.393313836537615</v>
      </c>
      <c r="F42" s="5">
        <f t="shared" si="1"/>
        <v>-1291.9443599999995</v>
      </c>
      <c r="G42" s="19"/>
    </row>
    <row r="43" spans="1:7">
      <c r="A43" s="16">
        <v>2021000000</v>
      </c>
      <c r="B43" s="17" t="s">
        <v>18</v>
      </c>
      <c r="C43" s="375">
        <v>2693</v>
      </c>
      <c r="D43" s="20">
        <v>2693</v>
      </c>
      <c r="E43" s="9">
        <f t="shared" si="0"/>
        <v>100</v>
      </c>
      <c r="F43" s="9">
        <f t="shared" si="1"/>
        <v>0</v>
      </c>
    </row>
    <row r="44" spans="1:7" hidden="1">
      <c r="A44" s="16">
        <v>2021500200</v>
      </c>
      <c r="B44" s="17" t="s">
        <v>223</v>
      </c>
      <c r="C44" s="12"/>
      <c r="D44" s="20">
        <v>0</v>
      </c>
      <c r="E44" s="9" t="e">
        <f t="shared" si="0"/>
        <v>#DIV/0!</v>
      </c>
      <c r="F44" s="9">
        <f t="shared" si="1"/>
        <v>0</v>
      </c>
    </row>
    <row r="45" spans="1:7" ht="15" customHeight="1">
      <c r="A45" s="16">
        <v>2022000000</v>
      </c>
      <c r="B45" s="17" t="s">
        <v>19</v>
      </c>
      <c r="C45" s="12">
        <v>10312.837320000001</v>
      </c>
      <c r="D45" s="10">
        <v>9111.3296599999994</v>
      </c>
      <c r="E45" s="9">
        <f t="shared" si="0"/>
        <v>88.349397719385323</v>
      </c>
      <c r="F45" s="9">
        <f t="shared" si="1"/>
        <v>-1201.5076600000011</v>
      </c>
    </row>
    <row r="46" spans="1:7" ht="15" hidden="1" customHeight="1">
      <c r="A46" s="16">
        <v>2022999910</v>
      </c>
      <c r="B46" s="18" t="s">
        <v>322</v>
      </c>
      <c r="C46" s="12"/>
      <c r="D46" s="10">
        <v>0</v>
      </c>
      <c r="E46" s="9" t="e">
        <f>SUM(D46/C46*100)</f>
        <v>#DIV/0!</v>
      </c>
      <c r="F46" s="9">
        <f>SUM(D46-C46)</f>
        <v>0</v>
      </c>
    </row>
    <row r="47" spans="1:7" ht="15.75" customHeight="1">
      <c r="A47" s="16">
        <v>2023000000</v>
      </c>
      <c r="B47" s="17" t="s">
        <v>20</v>
      </c>
      <c r="C47" s="12">
        <v>126.63952</v>
      </c>
      <c r="D47" s="180">
        <v>126.63952</v>
      </c>
      <c r="E47" s="9">
        <f>SUM(D47/C47*100)</f>
        <v>100</v>
      </c>
      <c r="F47" s="9">
        <f>SUM(D47-C47)</f>
        <v>0</v>
      </c>
    </row>
    <row r="48" spans="1:7" ht="15.75" customHeight="1">
      <c r="A48" s="16">
        <v>2024000000</v>
      </c>
      <c r="B48" s="17" t="s">
        <v>21</v>
      </c>
      <c r="C48" s="12">
        <v>1878.4615799999999</v>
      </c>
      <c r="D48" s="181">
        <v>1788.0248799999999</v>
      </c>
      <c r="E48" s="9">
        <f t="shared" si="0"/>
        <v>95.185597567558446</v>
      </c>
      <c r="F48" s="9">
        <f t="shared" si="1"/>
        <v>-90.436699999999973</v>
      </c>
    </row>
    <row r="49" spans="1:8" ht="30" customHeight="1">
      <c r="A49" s="16">
        <v>2020700000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8" ht="21" hidden="1" customHeight="1">
      <c r="A50" s="7">
        <v>2190500005</v>
      </c>
      <c r="B50" s="11" t="s">
        <v>23</v>
      </c>
      <c r="C50" s="10">
        <v>0</v>
      </c>
      <c r="D50" s="10">
        <v>0</v>
      </c>
      <c r="E50" s="9" t="e">
        <f t="shared" si="0"/>
        <v>#DIV/0!</v>
      </c>
      <c r="F50" s="9">
        <f>SUM(D50-C50)</f>
        <v>0</v>
      </c>
    </row>
    <row r="51" spans="1:8" s="6" customFormat="1" ht="23.25" customHeight="1">
      <c r="A51" s="3"/>
      <c r="B51" s="4" t="s">
        <v>25</v>
      </c>
      <c r="C51" s="224">
        <f>C41+C42</f>
        <v>18638.026559999998</v>
      </c>
      <c r="D51" s="394">
        <f>D41+D42</f>
        <v>17278.989310000001</v>
      </c>
      <c r="E51" s="5">
        <f t="shared" si="0"/>
        <v>92.7082556427047</v>
      </c>
      <c r="F51" s="5">
        <f t="shared" si="1"/>
        <v>-1359.0372499999976</v>
      </c>
      <c r="G51" s="93"/>
      <c r="H51" s="93"/>
    </row>
    <row r="52" spans="1:8" s="6" customFormat="1">
      <c r="A52" s="3"/>
      <c r="B52" s="21" t="s">
        <v>299</v>
      </c>
      <c r="C52" s="5">
        <f>C51-C100</f>
        <v>-1106.9668700000002</v>
      </c>
      <c r="D52" s="5">
        <f>D51-D100</f>
        <v>-527.49764000000141</v>
      </c>
      <c r="E52" s="22"/>
      <c r="F52" s="22"/>
    </row>
    <row r="53" spans="1:8" ht="32.25" customHeight="1">
      <c r="A53" s="23"/>
      <c r="B53" s="24"/>
      <c r="C53" s="177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88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22">
        <f>C57+C58+C59+C60+C61+C63+C62</f>
        <v>1513.7356600000001</v>
      </c>
      <c r="D56" s="101">
        <f>D57+D58+D59+D60+D61+D63+D62</f>
        <v>1451.2435</v>
      </c>
      <c r="E56" s="34">
        <f>SUM(D56/C56*100)</f>
        <v>95.871659652914559</v>
      </c>
      <c r="F56" s="34">
        <f>SUM(D56-C56)</f>
        <v>-62.492160000000013</v>
      </c>
    </row>
    <row r="57" spans="1:8" s="6" customFormat="1" ht="1.5" hidden="1" customHeight="1">
      <c r="A57" s="35" t="s">
        <v>29</v>
      </c>
      <c r="B57" s="36" t="s">
        <v>30</v>
      </c>
      <c r="C57" s="91">
        <v>0</v>
      </c>
      <c r="D57" s="91">
        <v>0</v>
      </c>
      <c r="E57" s="38" t="e">
        <f>SUM(D57/C57*100)</f>
        <v>#DIV/0!</v>
      </c>
      <c r="F57" s="38">
        <f>SUM(D57-C57)</f>
        <v>0</v>
      </c>
    </row>
    <row r="58" spans="1:8" ht="13.5" customHeight="1">
      <c r="A58" s="35" t="s">
        <v>31</v>
      </c>
      <c r="B58" s="39" t="s">
        <v>32</v>
      </c>
      <c r="C58" s="91">
        <v>1501.3076599999999</v>
      </c>
      <c r="D58" s="91">
        <v>1439.8154999999999</v>
      </c>
      <c r="E58" s="38">
        <f t="shared" ref="E58:E100" si="3">SUM(D58/C58*100)</f>
        <v>95.904093368843533</v>
      </c>
      <c r="F58" s="38">
        <f t="shared" ref="F58:F100" si="4">SUM(D58-C58)</f>
        <v>-61.492160000000013</v>
      </c>
    </row>
    <row r="59" spans="1:8" ht="16.5" hidden="1" customHeight="1">
      <c r="A59" s="35" t="s">
        <v>33</v>
      </c>
      <c r="B59" s="39" t="s">
        <v>34</v>
      </c>
      <c r="C59" s="91"/>
      <c r="D59" s="91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91"/>
      <c r="D60" s="91"/>
      <c r="E60" s="38" t="e">
        <f t="shared" si="3"/>
        <v>#DIV/0!</v>
      </c>
      <c r="F60" s="38">
        <f t="shared" si="4"/>
        <v>0</v>
      </c>
    </row>
    <row r="61" spans="1:8" ht="19.5" hidden="1" customHeight="1">
      <c r="A61" s="35" t="s">
        <v>37</v>
      </c>
      <c r="B61" s="39" t="s">
        <v>38</v>
      </c>
      <c r="C61" s="91">
        <v>0</v>
      </c>
      <c r="D61" s="9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02">
        <v>1</v>
      </c>
      <c r="D62" s="102">
        <v>0</v>
      </c>
      <c r="E62" s="38">
        <f t="shared" si="3"/>
        <v>0</v>
      </c>
      <c r="F62" s="38">
        <f t="shared" si="4"/>
        <v>-1</v>
      </c>
    </row>
    <row r="63" spans="1:8" ht="14.25" customHeight="1">
      <c r="A63" s="35" t="s">
        <v>41</v>
      </c>
      <c r="B63" s="39" t="s">
        <v>42</v>
      </c>
      <c r="C63" s="91">
        <v>11.428000000000001</v>
      </c>
      <c r="D63" s="91">
        <v>11.428000000000001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22">
        <f>C65</f>
        <v>112.34692</v>
      </c>
      <c r="D64" s="22">
        <f>D65</f>
        <v>112.34692</v>
      </c>
      <c r="E64" s="34">
        <f t="shared" si="3"/>
        <v>100</v>
      </c>
      <c r="F64" s="34">
        <f t="shared" si="4"/>
        <v>0</v>
      </c>
    </row>
    <row r="65" spans="1:7" ht="15" customHeight="1">
      <c r="A65" s="43" t="s">
        <v>45</v>
      </c>
      <c r="B65" s="44" t="s">
        <v>46</v>
      </c>
      <c r="C65" s="91">
        <v>112.34692</v>
      </c>
      <c r="D65" s="91">
        <v>112.34692</v>
      </c>
      <c r="E65" s="38">
        <f t="shared" si="3"/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22">
        <f>C69+C70+C71</f>
        <v>27.511340000000001</v>
      </c>
      <c r="D66" s="22">
        <f>D69+D70+D71</f>
        <v>27.511340000000001</v>
      </c>
      <c r="E66" s="34">
        <f t="shared" si="3"/>
        <v>100</v>
      </c>
      <c r="F66" s="34">
        <f t="shared" si="4"/>
        <v>0</v>
      </c>
    </row>
    <row r="67" spans="1:7" ht="0.75" hidden="1" customHeight="1">
      <c r="A67" s="35" t="s">
        <v>49</v>
      </c>
      <c r="B67" s="39" t="s">
        <v>50</v>
      </c>
      <c r="C67" s="91"/>
      <c r="D67" s="91"/>
      <c r="E67" s="34" t="e">
        <f t="shared" si="3"/>
        <v>#DIV/0!</v>
      </c>
      <c r="F67" s="34">
        <f t="shared" si="4"/>
        <v>0</v>
      </c>
    </row>
    <row r="68" spans="1:7" ht="18" hidden="1" customHeight="1">
      <c r="A68" s="45" t="s">
        <v>51</v>
      </c>
      <c r="B68" s="39" t="s">
        <v>52</v>
      </c>
      <c r="C68" s="91"/>
      <c r="D68" s="91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91">
        <v>2.83134</v>
      </c>
      <c r="D69" s="91">
        <v>2.83134</v>
      </c>
      <c r="E69" s="34">
        <f t="shared" si="3"/>
        <v>100</v>
      </c>
      <c r="F69" s="34">
        <f t="shared" si="4"/>
        <v>0</v>
      </c>
    </row>
    <row r="70" spans="1:7" ht="17.25" customHeight="1">
      <c r="A70" s="46" t="s">
        <v>210</v>
      </c>
      <c r="B70" s="47" t="s">
        <v>211</v>
      </c>
      <c r="C70" s="91">
        <v>22.68</v>
      </c>
      <c r="D70" s="91">
        <v>22.68</v>
      </c>
      <c r="E70" s="38">
        <f t="shared" si="3"/>
        <v>100</v>
      </c>
      <c r="F70" s="38">
        <f t="shared" si="4"/>
        <v>0</v>
      </c>
    </row>
    <row r="71" spans="1:7" ht="17.25" customHeight="1">
      <c r="A71" s="46" t="s">
        <v>330</v>
      </c>
      <c r="B71" s="47" t="s">
        <v>381</v>
      </c>
      <c r="C71" s="91">
        <v>2</v>
      </c>
      <c r="D71" s="91">
        <v>2</v>
      </c>
      <c r="E71" s="38">
        <f>SUM(D71/C71*100)</f>
        <v>100</v>
      </c>
      <c r="F71" s="38">
        <f>SUM(D71-C71)</f>
        <v>0</v>
      </c>
    </row>
    <row r="72" spans="1:7" s="6" customFormat="1" ht="19.5" customHeight="1">
      <c r="A72" s="30" t="s">
        <v>55</v>
      </c>
      <c r="B72" s="31" t="s">
        <v>56</v>
      </c>
      <c r="C72" s="103">
        <f>C74+C75+C76+C73</f>
        <v>10038.50814</v>
      </c>
      <c r="D72" s="103">
        <f>SUM(D73:D76)</f>
        <v>9454.438180000001</v>
      </c>
      <c r="E72" s="34">
        <f t="shared" si="3"/>
        <v>94.181705569648528</v>
      </c>
      <c r="F72" s="34">
        <f t="shared" si="4"/>
        <v>-584.0699599999989</v>
      </c>
    </row>
    <row r="73" spans="1:7" ht="17.25" customHeight="1">
      <c r="A73" s="35" t="s">
        <v>57</v>
      </c>
      <c r="B73" s="39" t="s">
        <v>58</v>
      </c>
      <c r="C73" s="104">
        <v>14.3093</v>
      </c>
      <c r="D73" s="91">
        <v>14.2926</v>
      </c>
      <c r="E73" s="38">
        <f t="shared" si="3"/>
        <v>99.883292683779075</v>
      </c>
      <c r="F73" s="38">
        <f t="shared" si="4"/>
        <v>-1.6700000000000159E-2</v>
      </c>
    </row>
    <row r="74" spans="1:7" s="6" customFormat="1" ht="17.25" hidden="1" customHeight="1">
      <c r="A74" s="35" t="s">
        <v>59</v>
      </c>
      <c r="B74" s="39" t="s">
        <v>60</v>
      </c>
      <c r="C74" s="104">
        <v>0</v>
      </c>
      <c r="D74" s="91">
        <v>0</v>
      </c>
      <c r="E74" s="38" t="e">
        <f t="shared" si="3"/>
        <v>#DIV/0!</v>
      </c>
      <c r="F74" s="38">
        <f t="shared" si="4"/>
        <v>0</v>
      </c>
      <c r="G74" s="50"/>
    </row>
    <row r="75" spans="1:7" ht="16.5" customHeight="1">
      <c r="A75" s="35" t="s">
        <v>61</v>
      </c>
      <c r="B75" s="39" t="s">
        <v>62</v>
      </c>
      <c r="C75" s="104">
        <v>9662.6988399999991</v>
      </c>
      <c r="D75" s="91">
        <v>9078.6455800000003</v>
      </c>
      <c r="E75" s="38">
        <f t="shared" si="3"/>
        <v>93.955588705898251</v>
      </c>
      <c r="F75" s="38">
        <f t="shared" si="4"/>
        <v>-584.05325999999877</v>
      </c>
    </row>
    <row r="76" spans="1:7" ht="16.5" customHeight="1">
      <c r="A76" s="35" t="s">
        <v>63</v>
      </c>
      <c r="B76" s="39" t="s">
        <v>64</v>
      </c>
      <c r="C76" s="104">
        <v>361.5</v>
      </c>
      <c r="D76" s="91">
        <v>361.5</v>
      </c>
      <c r="E76" s="38">
        <f t="shared" si="3"/>
        <v>100</v>
      </c>
      <c r="F76" s="38">
        <f t="shared" si="4"/>
        <v>0</v>
      </c>
    </row>
    <row r="77" spans="1:7" ht="15.75" hidden="1" customHeight="1">
      <c r="A77" s="30" t="s">
        <v>47</v>
      </c>
      <c r="B77" s="31" t="s">
        <v>48</v>
      </c>
      <c r="C77" s="103">
        <v>0</v>
      </c>
      <c r="D77" s="91"/>
      <c r="E77" s="38"/>
      <c r="F77" s="38"/>
    </row>
    <row r="78" spans="1:7" ht="15.75" hidden="1" customHeight="1">
      <c r="A78" s="46" t="s">
        <v>210</v>
      </c>
      <c r="B78" s="47" t="s">
        <v>211</v>
      </c>
      <c r="C78" s="104">
        <v>0</v>
      </c>
      <c r="D78" s="91"/>
      <c r="E78" s="38"/>
      <c r="F78" s="38"/>
    </row>
    <row r="79" spans="1:7" s="6" customFormat="1" ht="19.5" customHeight="1">
      <c r="A79" s="30" t="s">
        <v>65</v>
      </c>
      <c r="B79" s="31" t="s">
        <v>66</v>
      </c>
      <c r="C79" s="22">
        <f>SUM(C80:C82)</f>
        <v>5947.4370499999995</v>
      </c>
      <c r="D79" s="22">
        <f>SUM(D80:D82)</f>
        <v>4655.49269</v>
      </c>
      <c r="E79" s="34">
        <f t="shared" si="3"/>
        <v>78.277292401102429</v>
      </c>
      <c r="F79" s="34">
        <f t="shared" si="4"/>
        <v>-1291.9443599999995</v>
      </c>
    </row>
    <row r="80" spans="1:7" hidden="1">
      <c r="A80" s="35" t="s">
        <v>67</v>
      </c>
      <c r="B80" s="51" t="s">
        <v>68</v>
      </c>
      <c r="C80" s="91"/>
      <c r="D80" s="91"/>
      <c r="E80" s="38" t="e">
        <f t="shared" si="3"/>
        <v>#DIV/0!</v>
      </c>
      <c r="F80" s="38">
        <f t="shared" si="4"/>
        <v>0</v>
      </c>
    </row>
    <row r="81" spans="1:6">
      <c r="A81" s="35" t="s">
        <v>69</v>
      </c>
      <c r="B81" s="51" t="s">
        <v>70</v>
      </c>
      <c r="C81" s="91">
        <v>5342.5472499999996</v>
      </c>
      <c r="D81" s="91">
        <v>4050.6028900000001</v>
      </c>
      <c r="E81" s="38">
        <f t="shared" si="3"/>
        <v>75.817820609822405</v>
      </c>
      <c r="F81" s="38">
        <f t="shared" si="4"/>
        <v>-1291.9443599999995</v>
      </c>
    </row>
    <row r="82" spans="1:6" ht="18" customHeight="1">
      <c r="A82" s="35" t="s">
        <v>71</v>
      </c>
      <c r="B82" s="39" t="s">
        <v>72</v>
      </c>
      <c r="C82" s="91">
        <v>604.88980000000004</v>
      </c>
      <c r="D82" s="91">
        <v>604.88980000000004</v>
      </c>
      <c r="E82" s="38">
        <f t="shared" si="3"/>
        <v>100</v>
      </c>
      <c r="F82" s="38">
        <f t="shared" si="4"/>
        <v>0</v>
      </c>
    </row>
    <row r="83" spans="1:6" s="6" customFormat="1" ht="16.5" customHeight="1">
      <c r="A83" s="30" t="s">
        <v>81</v>
      </c>
      <c r="B83" s="31" t="s">
        <v>82</v>
      </c>
      <c r="C83" s="22">
        <f>C84</f>
        <v>2099.4523199999999</v>
      </c>
      <c r="D83" s="22">
        <f>SUM(D84)</f>
        <v>2099.4523199999999</v>
      </c>
      <c r="E83" s="34">
        <f t="shared" si="3"/>
        <v>100</v>
      </c>
      <c r="F83" s="34">
        <f t="shared" si="4"/>
        <v>0</v>
      </c>
    </row>
    <row r="84" spans="1:6" ht="14.25" customHeight="1">
      <c r="A84" s="35" t="s">
        <v>83</v>
      </c>
      <c r="B84" s="39" t="s">
        <v>225</v>
      </c>
      <c r="C84" s="91">
        <v>2099.4523199999999</v>
      </c>
      <c r="D84" s="91">
        <v>2099.4523199999999</v>
      </c>
      <c r="E84" s="38">
        <f t="shared" si="3"/>
        <v>100</v>
      </c>
      <c r="F84" s="38">
        <f t="shared" si="4"/>
        <v>0</v>
      </c>
    </row>
    <row r="85" spans="1:6" s="6" customFormat="1" ht="12" hidden="1" customHeight="1">
      <c r="A85" s="52">
        <v>1000</v>
      </c>
      <c r="B85" s="31" t="s">
        <v>84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9" hidden="1" customHeight="1">
      <c r="A86" s="53">
        <v>1001</v>
      </c>
      <c r="B86" s="54" t="s">
        <v>85</v>
      </c>
      <c r="C86" s="91"/>
      <c r="D86" s="91"/>
      <c r="E86" s="38" t="e">
        <f t="shared" si="3"/>
        <v>#DIV/0!</v>
      </c>
      <c r="F86" s="38">
        <f t="shared" si="4"/>
        <v>0</v>
      </c>
    </row>
    <row r="87" spans="1:6" ht="12" hidden="1" customHeight="1">
      <c r="A87" s="53">
        <v>1003</v>
      </c>
      <c r="B87" s="54" t="s">
        <v>86</v>
      </c>
      <c r="C87" s="91">
        <v>0</v>
      </c>
      <c r="D87" s="91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>
      <c r="A88" s="53">
        <v>1004</v>
      </c>
      <c r="B88" s="54" t="s">
        <v>87</v>
      </c>
      <c r="C88" s="91">
        <v>0</v>
      </c>
      <c r="D88" s="183">
        <v>0</v>
      </c>
      <c r="E88" s="38" t="e">
        <f t="shared" si="3"/>
        <v>#DIV/0!</v>
      </c>
      <c r="F88" s="38">
        <f t="shared" si="4"/>
        <v>0</v>
      </c>
    </row>
    <row r="89" spans="1:6" ht="19.5" hidden="1" customHeight="1">
      <c r="A89" s="35" t="s">
        <v>88</v>
      </c>
      <c r="B89" s="39" t="s">
        <v>89</v>
      </c>
      <c r="C89" s="91">
        <v>0</v>
      </c>
      <c r="D89" s="91">
        <v>0</v>
      </c>
      <c r="E89" s="38"/>
      <c r="F89" s="38">
        <f t="shared" si="4"/>
        <v>0</v>
      </c>
    </row>
    <row r="90" spans="1:6" ht="15" customHeight="1">
      <c r="A90" s="30" t="s">
        <v>90</v>
      </c>
      <c r="B90" s="31" t="s">
        <v>91</v>
      </c>
      <c r="C90" s="22">
        <f>C91+C92+C93+C94+C95</f>
        <v>6.0019999999999998</v>
      </c>
      <c r="D90" s="22">
        <f>D91+D92+D93+D94+D95</f>
        <v>6.0019999999999998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91">
        <v>6.0019999999999998</v>
      </c>
      <c r="D91" s="91">
        <v>6.0019999999999998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91"/>
      <c r="D92" s="91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91"/>
      <c r="D93" s="91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91"/>
      <c r="D94" s="91"/>
      <c r="E94" s="38" t="e">
        <f t="shared" si="3"/>
        <v>#DIV/0!</v>
      </c>
      <c r="F94" s="38"/>
    </row>
    <row r="95" spans="1:6" ht="57.75" hidden="1" customHeight="1">
      <c r="A95" s="35" t="s">
        <v>100</v>
      </c>
      <c r="B95" s="39" t="s">
        <v>101</v>
      </c>
      <c r="C95" s="91"/>
      <c r="D95" s="9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109</v>
      </c>
      <c r="C96" s="103">
        <f>C97+C98+C99</f>
        <v>0</v>
      </c>
      <c r="D96" s="103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110</v>
      </c>
      <c r="C97" s="91">
        <v>0</v>
      </c>
      <c r="D97" s="91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111</v>
      </c>
      <c r="C98" s="104">
        <v>0</v>
      </c>
      <c r="D98" s="91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112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113</v>
      </c>
      <c r="C100" s="386">
        <f>C56+C64+C66+C72+C79+C83+C85+C90+C77</f>
        <v>19744.993429999999</v>
      </c>
      <c r="D100" s="386">
        <f>D56+D64+D66+D72+D79+D83+D90+D85</f>
        <v>17806.486950000002</v>
      </c>
      <c r="E100" s="34">
        <f t="shared" si="3"/>
        <v>90.182288553944602</v>
      </c>
      <c r="F100" s="34">
        <f t="shared" si="4"/>
        <v>-1938.5064799999964</v>
      </c>
    </row>
    <row r="101" spans="1:6" ht="5.25" customHeight="1">
      <c r="C101" s="118"/>
      <c r="D101" s="61"/>
    </row>
    <row r="102" spans="1:6" s="65" customFormat="1" ht="12.75">
      <c r="A102" s="63" t="s">
        <v>114</v>
      </c>
      <c r="B102" s="63"/>
      <c r="C102" s="114"/>
      <c r="D102" s="64"/>
    </row>
    <row r="103" spans="1:6" s="65" customFormat="1" ht="12.75">
      <c r="A103" s="66" t="s">
        <v>115</v>
      </c>
      <c r="B103" s="66"/>
      <c r="C103" s="65" t="s">
        <v>116</v>
      </c>
    </row>
    <row r="104" spans="1:6">
      <c r="C104" s="118"/>
    </row>
    <row r="142" hidden="1"/>
  </sheetData>
  <customSheetViews>
    <customSheetView guid="{61528DAC-5C4C-48F4-ADE2-8A724B05A086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A486C6EE-08B2-475E-8DA1-C3C3163412A9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2"/>
    </customSheetView>
    <customSheetView guid="{F1E84C44-1ACD-474A-BDE0-C7088DB6C590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F85EE840-0C31-454A-8951-832C2E9E0600}" scale="70" showPageBreaks="1" fitToPage="1" printArea="1" state="hidden" view="pageBreakPreview" topLeftCell="A33">
      <selection activeCell="D94" sqref="D94"/>
      <pageMargins left="0.70866141732283472" right="0.70866141732283472" top="0.74803149606299213" bottom="0.74803149606299213" header="0.31496062992125984" footer="0.31496062992125984"/>
      <pageSetup paperSize="9" scale="39" orientation="portrait" r:id="rId4"/>
    </customSheetView>
    <customSheetView guid="{3DCB9AAA-F09C-4EA6-B992-F93E466D374A}" printArea="1" topLeftCell="A47">
      <selection activeCell="B100" sqref="B100"/>
      <pageMargins left="0.7" right="0.7" top="0.75" bottom="0.75" header="0.3" footer="0.3"/>
      <pageSetup paperSize="9" scale="56" orientation="portrait" r:id="rId5"/>
    </customSheetView>
    <customSheetView guid="{1718F1EE-9F48-4DBE-9531-3B70F9C4A5DD}" scale="70" showPageBreaks="1" printArea="1" hiddenRows="1" view="pageBreakPreview" topLeftCell="A37">
      <selection activeCell="C100" sqref="C100"/>
      <pageMargins left="0.7" right="0.7" top="0.75" bottom="0.75" header="0.3" footer="0.3"/>
      <pageSetup paperSize="9" scale="39" orientation="portrait" r:id="rId6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7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8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9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10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11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5C539BE6-C8E0-453F-AB5E-9E58094195EA}" scale="70" showPageBreaks="1" fitToPage="1" printArea="1" hiddenRows="1" view="pageBreakPreview" topLeftCell="A36">
      <selection activeCell="C85" sqref="C85"/>
      <pageMargins left="0.70866141732283472" right="0.70866141732283472" top="0.74803149606299213" bottom="0.74803149606299213" header="0.31496062992125984" footer="0.31496062992125984"/>
      <pageSetup paperSize="9" scale="53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4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25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627" t="s">
        <v>422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5123.3099999999995</v>
      </c>
      <c r="D4" s="187">
        <f>D5+D12+D14+D17+D20+D7</f>
        <v>5832.8704600000001</v>
      </c>
      <c r="E4" s="5">
        <f>SUM(D4/C4*100)</f>
        <v>113.84964915259863</v>
      </c>
      <c r="F4" s="5">
        <f>SUM(D4-C4)</f>
        <v>709.5604600000006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769.03701000000001</v>
      </c>
      <c r="E5" s="5">
        <f t="shared" ref="E5:E50" si="0">SUM(D5/C5*100)</f>
        <v>129.46751010101011</v>
      </c>
      <c r="F5" s="5">
        <f t="shared" ref="F5:F50" si="1">SUM(D5-C5)</f>
        <v>175.03701000000001</v>
      </c>
    </row>
    <row r="6" spans="1:6">
      <c r="A6" s="7">
        <v>1010200001</v>
      </c>
      <c r="B6" s="8" t="s">
        <v>220</v>
      </c>
      <c r="C6" s="211">
        <v>594</v>
      </c>
      <c r="D6" s="212">
        <v>769.03701000000001</v>
      </c>
      <c r="E6" s="9">
        <f t="shared" ref="E6:E11" si="2">SUM(D6/C6*100)</f>
        <v>129.46751010101011</v>
      </c>
      <c r="F6" s="9">
        <f t="shared" si="1"/>
        <v>175.03701000000001</v>
      </c>
    </row>
    <row r="7" spans="1:6" ht="31.5">
      <c r="A7" s="3">
        <v>1030000000</v>
      </c>
      <c r="B7" s="13" t="s">
        <v>259</v>
      </c>
      <c r="C7" s="256">
        <f>C8+C10+C9</f>
        <v>971.31</v>
      </c>
      <c r="D7" s="187">
        <f>D8+D10+D9+D11</f>
        <v>1094.3040699999999</v>
      </c>
      <c r="E7" s="5">
        <f t="shared" si="2"/>
        <v>112.66269985895336</v>
      </c>
      <c r="F7" s="5">
        <f t="shared" si="1"/>
        <v>122.99406999999997</v>
      </c>
    </row>
    <row r="8" spans="1:6">
      <c r="A8" s="7">
        <v>1030223001</v>
      </c>
      <c r="B8" s="8" t="s">
        <v>261</v>
      </c>
      <c r="C8" s="211">
        <v>390.95299999999997</v>
      </c>
      <c r="D8" s="212">
        <v>548.58234000000004</v>
      </c>
      <c r="E8" s="9">
        <f t="shared" si="2"/>
        <v>140.31925576731732</v>
      </c>
      <c r="F8" s="9">
        <f t="shared" si="1"/>
        <v>157.62934000000007</v>
      </c>
    </row>
    <row r="9" spans="1:6">
      <c r="A9" s="7">
        <v>1030224001</v>
      </c>
      <c r="B9" s="8" t="s">
        <v>267</v>
      </c>
      <c r="C9" s="211">
        <v>3.702</v>
      </c>
      <c r="D9" s="212">
        <v>2.9632000000000001</v>
      </c>
      <c r="E9" s="9">
        <f t="shared" si="2"/>
        <v>80.043219881145333</v>
      </c>
      <c r="F9" s="9">
        <f t="shared" si="1"/>
        <v>-0.7387999999999999</v>
      </c>
    </row>
    <row r="10" spans="1:6">
      <c r="A10" s="7">
        <v>1030225001</v>
      </c>
      <c r="B10" s="8" t="s">
        <v>260</v>
      </c>
      <c r="C10" s="211">
        <v>576.65499999999997</v>
      </c>
      <c r="D10" s="212">
        <v>605.69683999999995</v>
      </c>
      <c r="E10" s="9">
        <f t="shared" si="2"/>
        <v>105.0362591150688</v>
      </c>
      <c r="F10" s="9">
        <f t="shared" si="1"/>
        <v>29.041839999999979</v>
      </c>
    </row>
    <row r="11" spans="1:6">
      <c r="A11" s="7">
        <v>1030226001</v>
      </c>
      <c r="B11" s="8" t="s">
        <v>268</v>
      </c>
      <c r="C11" s="211">
        <v>0</v>
      </c>
      <c r="D11" s="210">
        <v>-62.938310000000001</v>
      </c>
      <c r="E11" s="9" t="e">
        <f t="shared" si="2"/>
        <v>#DIV/0!</v>
      </c>
      <c r="F11" s="9">
        <f t="shared" si="1"/>
        <v>-62.938310000000001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139.50817000000001</v>
      </c>
      <c r="E12" s="5">
        <f t="shared" si="0"/>
        <v>186.01089333333334</v>
      </c>
      <c r="F12" s="5">
        <f t="shared" si="1"/>
        <v>64.508170000000007</v>
      </c>
    </row>
    <row r="13" spans="1:6" ht="15.75" customHeight="1">
      <c r="A13" s="7">
        <v>1050300000</v>
      </c>
      <c r="B13" s="11" t="s">
        <v>221</v>
      </c>
      <c r="C13" s="213">
        <v>75</v>
      </c>
      <c r="D13" s="212">
        <v>139.50817000000001</v>
      </c>
      <c r="E13" s="9">
        <f t="shared" si="0"/>
        <v>186.01089333333334</v>
      </c>
      <c r="F13" s="9">
        <f t="shared" si="1"/>
        <v>64.508170000000007</v>
      </c>
    </row>
    <row r="14" spans="1:6" s="6" customFormat="1" ht="15.75" customHeight="1">
      <c r="A14" s="68">
        <v>1060000000</v>
      </c>
      <c r="B14" s="67" t="s">
        <v>129</v>
      </c>
      <c r="C14" s="187">
        <f>C15+C16</f>
        <v>3473</v>
      </c>
      <c r="D14" s="187">
        <f>D15+D16</f>
        <v>3822.6212100000002</v>
      </c>
      <c r="E14" s="5">
        <f t="shared" si="0"/>
        <v>110.06683587676361</v>
      </c>
      <c r="F14" s="5">
        <f t="shared" si="1"/>
        <v>349.62121000000025</v>
      </c>
    </row>
    <row r="15" spans="1:6" s="6" customFormat="1" ht="15.75" customHeight="1">
      <c r="A15" s="7">
        <v>1060100000</v>
      </c>
      <c r="B15" s="11" t="s">
        <v>8</v>
      </c>
      <c r="C15" s="211">
        <v>473</v>
      </c>
      <c r="D15" s="212">
        <v>558.89953000000003</v>
      </c>
      <c r="E15" s="9">
        <f t="shared" si="0"/>
        <v>118.16057716701904</v>
      </c>
      <c r="F15" s="9">
        <f>SUM(D15-C15)</f>
        <v>85.899530000000027</v>
      </c>
    </row>
    <row r="16" spans="1:6" ht="15.75" customHeight="1">
      <c r="A16" s="7">
        <v>1060600000</v>
      </c>
      <c r="B16" s="11" t="s">
        <v>7</v>
      </c>
      <c r="C16" s="211">
        <v>3000</v>
      </c>
      <c r="D16" s="212">
        <v>3263.7216800000001</v>
      </c>
      <c r="E16" s="9">
        <f t="shared" si="0"/>
        <v>108.79072266666667</v>
      </c>
      <c r="F16" s="9">
        <f t="shared" si="1"/>
        <v>263.72168000000011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7.4</v>
      </c>
      <c r="E17" s="5">
        <f t="shared" si="0"/>
        <v>74</v>
      </c>
      <c r="F17" s="5">
        <f t="shared" si="1"/>
        <v>-2.5999999999999996</v>
      </c>
    </row>
    <row r="18" spans="1:6" ht="18" customHeight="1">
      <c r="A18" s="7">
        <v>1080400001</v>
      </c>
      <c r="B18" s="8" t="s">
        <v>219</v>
      </c>
      <c r="C18" s="211">
        <v>10</v>
      </c>
      <c r="D18" s="212">
        <v>7.4</v>
      </c>
      <c r="E18" s="9">
        <f t="shared" si="0"/>
        <v>74</v>
      </c>
      <c r="F18" s="9">
        <f t="shared" si="1"/>
        <v>-2.5999999999999996</v>
      </c>
    </row>
    <row r="19" spans="1:6" ht="47.25" hidden="1" customHeight="1">
      <c r="A19" s="7">
        <v>1080714001</v>
      </c>
      <c r="B19" s="8" t="s">
        <v>11</v>
      </c>
      <c r="C19" s="211"/>
      <c r="D19" s="21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187"/>
      <c r="D21" s="2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187"/>
      <c r="D22" s="2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187"/>
      <c r="D23" s="2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187"/>
      <c r="D24" s="2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1066.00226</v>
      </c>
      <c r="D25" s="92">
        <f>D26+D29+D31+D36+D34</f>
        <v>2019.09275</v>
      </c>
      <c r="E25" s="5">
        <f t="shared" si="0"/>
        <v>189.40792395693421</v>
      </c>
      <c r="F25" s="5">
        <f t="shared" si="1"/>
        <v>953.09049000000005</v>
      </c>
    </row>
    <row r="26" spans="1:6" s="6" customFormat="1" ht="30" customHeight="1">
      <c r="A26" s="68">
        <v>1110000000</v>
      </c>
      <c r="B26" s="69" t="s">
        <v>122</v>
      </c>
      <c r="C26" s="187">
        <f>C27+C28</f>
        <v>212</v>
      </c>
      <c r="D26" s="92">
        <f>D27+D28</f>
        <v>265.834</v>
      </c>
      <c r="E26" s="5">
        <f t="shared" si="0"/>
        <v>125.39339622641509</v>
      </c>
      <c r="F26" s="5">
        <f t="shared" si="1"/>
        <v>53.834000000000003</v>
      </c>
    </row>
    <row r="27" spans="1:6" ht="15" customHeight="1">
      <c r="A27" s="16">
        <v>1110502510</v>
      </c>
      <c r="B27" s="17" t="s">
        <v>217</v>
      </c>
      <c r="C27" s="213">
        <v>200</v>
      </c>
      <c r="D27" s="210">
        <v>247.834</v>
      </c>
      <c r="E27" s="9">
        <f t="shared" si="0"/>
        <v>123.91700000000002</v>
      </c>
      <c r="F27" s="9">
        <f t="shared" si="1"/>
        <v>47.834000000000003</v>
      </c>
    </row>
    <row r="28" spans="1:6" ht="15.75" customHeight="1">
      <c r="A28" s="7">
        <v>1110503505</v>
      </c>
      <c r="B28" s="11" t="s">
        <v>216</v>
      </c>
      <c r="C28" s="12">
        <v>12</v>
      </c>
      <c r="D28" s="10">
        <v>18</v>
      </c>
      <c r="E28" s="9">
        <f t="shared" si="0"/>
        <v>150</v>
      </c>
      <c r="F28" s="9">
        <f t="shared" si="1"/>
        <v>6</v>
      </c>
    </row>
    <row r="29" spans="1:6" s="15" customFormat="1" ht="29.25">
      <c r="A29" s="68">
        <v>1130000000</v>
      </c>
      <c r="B29" s="69" t="s">
        <v>124</v>
      </c>
      <c r="C29" s="5">
        <f>C30</f>
        <v>30</v>
      </c>
      <c r="D29" s="5">
        <f>D30</f>
        <v>80.341700000000003</v>
      </c>
      <c r="E29" s="5">
        <f t="shared" si="0"/>
        <v>267.8056666666667</v>
      </c>
      <c r="F29" s="5">
        <f t="shared" si="1"/>
        <v>50.341700000000003</v>
      </c>
    </row>
    <row r="30" spans="1:6" ht="17.25" customHeight="1">
      <c r="A30" s="7">
        <v>1130206000</v>
      </c>
      <c r="B30" s="8" t="s">
        <v>215</v>
      </c>
      <c r="C30" s="9">
        <v>30</v>
      </c>
      <c r="D30" s="10">
        <v>80.341700000000003</v>
      </c>
      <c r="E30" s="9">
        <f t="shared" si="0"/>
        <v>267.8056666666667</v>
      </c>
      <c r="F30" s="9">
        <f t="shared" si="1"/>
        <v>50.341700000000003</v>
      </c>
    </row>
    <row r="31" spans="1:6" ht="28.5" hidden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5">
        <f>C35</f>
        <v>0</v>
      </c>
      <c r="D34" s="5">
        <f>D35</f>
        <v>15.28323</v>
      </c>
      <c r="E34" s="5" t="e">
        <f>SUM(D34/C34*100)</f>
        <v>#DIV/0!</v>
      </c>
      <c r="F34" s="5">
        <f>SUM(D34-C34)</f>
        <v>15.28323</v>
      </c>
    </row>
    <row r="35" spans="1:7" ht="15.75" customHeight="1">
      <c r="A35" s="7">
        <v>1160701010</v>
      </c>
      <c r="B35" s="8" t="s">
        <v>402</v>
      </c>
      <c r="C35" s="9">
        <v>0</v>
      </c>
      <c r="D35" s="10">
        <v>15.28323</v>
      </c>
      <c r="E35" s="9" t="e">
        <f>SUM(D35/C35*100)</f>
        <v>#DIV/0!</v>
      </c>
      <c r="F35" s="9">
        <f>SUM(D35-C35)</f>
        <v>15.28323</v>
      </c>
    </row>
    <row r="36" spans="1:7" ht="16.5" customHeight="1">
      <c r="A36" s="3">
        <v>1170000000</v>
      </c>
      <c r="B36" s="13" t="s">
        <v>128</v>
      </c>
      <c r="C36" s="5">
        <f>C37+C38</f>
        <v>824.00225999999998</v>
      </c>
      <c r="D36" s="5">
        <f>D37</f>
        <v>1657.63382</v>
      </c>
      <c r="E36" s="5">
        <f t="shared" si="0"/>
        <v>201.16860116378808</v>
      </c>
      <c r="F36" s="5">
        <f t="shared" si="1"/>
        <v>833.63156000000004</v>
      </c>
    </row>
    <row r="37" spans="1:7" ht="30" customHeight="1">
      <c r="A37" s="7">
        <v>1171503010</v>
      </c>
      <c r="B37" s="8" t="s">
        <v>405</v>
      </c>
      <c r="C37" s="9">
        <v>824.00225999999998</v>
      </c>
      <c r="D37" s="9">
        <v>1657.63382</v>
      </c>
      <c r="E37" s="9">
        <f t="shared" si="0"/>
        <v>201.16860116378808</v>
      </c>
      <c r="F37" s="9">
        <f t="shared" si="1"/>
        <v>833.63156000000004</v>
      </c>
    </row>
    <row r="38" spans="1:7" ht="17.25" hidden="1" customHeight="1">
      <c r="A38" s="7">
        <v>1170505005</v>
      </c>
      <c r="B38" s="11" t="s">
        <v>212</v>
      </c>
      <c r="C38" s="211">
        <v>0</v>
      </c>
      <c r="D38" s="21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5">
        <f>SUM(C4,C25)</f>
        <v>6189.3122599999997</v>
      </c>
      <c r="D39" s="215">
        <f>D4+D25</f>
        <v>7851.9632099999999</v>
      </c>
      <c r="E39" s="5">
        <f t="shared" si="0"/>
        <v>126.8632584713055</v>
      </c>
      <c r="F39" s="5">
        <f t="shared" si="1"/>
        <v>1662.6509500000002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6805.852609999999</v>
      </c>
      <c r="D40" s="187">
        <f>D41+D43+D45+D46+D47+D48+D42+D44</f>
        <v>6805.852609999999</v>
      </c>
      <c r="E40" s="5">
        <f t="shared" si="0"/>
        <v>100</v>
      </c>
      <c r="F40" s="5">
        <f t="shared" si="1"/>
        <v>0</v>
      </c>
      <c r="G40" s="19"/>
    </row>
    <row r="41" spans="1:7">
      <c r="A41" s="16">
        <v>2021000000</v>
      </c>
      <c r="B41" s="17" t="s">
        <v>18</v>
      </c>
      <c r="C41" s="216">
        <v>2418.1</v>
      </c>
      <c r="D41" s="217">
        <v>2418.1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223</v>
      </c>
      <c r="C42" s="216">
        <v>0</v>
      </c>
      <c r="D42" s="21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6">
        <v>3774.8609999999999</v>
      </c>
      <c r="D43" s="212">
        <v>3774.8609999999999</v>
      </c>
      <c r="E43" s="9">
        <f t="shared" si="0"/>
        <v>100</v>
      </c>
      <c r="F43" s="9">
        <f t="shared" si="1"/>
        <v>0</v>
      </c>
    </row>
    <row r="44" spans="1:7" ht="15.75" hidden="1" customHeight="1">
      <c r="A44" s="16">
        <v>2022999910</v>
      </c>
      <c r="B44" s="18" t="s">
        <v>322</v>
      </c>
      <c r="C44" s="379">
        <v>0</v>
      </c>
      <c r="D44" s="380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3">
        <v>280.75860999999998</v>
      </c>
      <c r="D45" s="218">
        <v>280.75860999999998</v>
      </c>
      <c r="E45" s="9">
        <f t="shared" si="0"/>
        <v>100</v>
      </c>
      <c r="F45" s="9">
        <f t="shared" si="1"/>
        <v>0</v>
      </c>
    </row>
    <row r="46" spans="1:7" ht="17.25" customHeight="1">
      <c r="A46" s="16">
        <v>2020400000</v>
      </c>
      <c r="B46" s="17" t="s">
        <v>21</v>
      </c>
      <c r="C46" s="213">
        <v>332.13299999999998</v>
      </c>
      <c r="D46" s="219">
        <v>332.13299999999998</v>
      </c>
      <c r="E46" s="9">
        <f t="shared" si="0"/>
        <v>100</v>
      </c>
      <c r="F46" s="9">
        <f t="shared" si="1"/>
        <v>0</v>
      </c>
    </row>
    <row r="47" spans="1:7" ht="17.25" customHeight="1">
      <c r="A47" s="7">
        <v>2070500010</v>
      </c>
      <c r="B47" s="17" t="s">
        <v>323</v>
      </c>
      <c r="C47" s="213"/>
      <c r="D47" s="219"/>
      <c r="E47" s="9" t="e">
        <f t="shared" si="0"/>
        <v>#DIV/0!</v>
      </c>
      <c r="F47" s="9">
        <f t="shared" si="1"/>
        <v>0</v>
      </c>
    </row>
    <row r="48" spans="1:7" ht="21" hidden="1" customHeight="1">
      <c r="A48" s="7">
        <v>2190500005</v>
      </c>
      <c r="B48" s="11" t="s">
        <v>23</v>
      </c>
      <c r="C48" s="214"/>
      <c r="D48" s="21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0">
        <v>0</v>
      </c>
      <c r="D49" s="2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3">
        <f>C39+C40</f>
        <v>12995.164869999999</v>
      </c>
      <c r="D50" s="241">
        <f>D39+D40</f>
        <v>14657.81582</v>
      </c>
      <c r="E50" s="187">
        <f t="shared" si="0"/>
        <v>112.79438134592903</v>
      </c>
      <c r="F50" s="92">
        <f t="shared" si="1"/>
        <v>1662.6509500000011</v>
      </c>
      <c r="G50" s="146"/>
      <c r="H50" s="193"/>
    </row>
    <row r="51" spans="1:8" s="6" customFormat="1">
      <c r="A51" s="3"/>
      <c r="B51" s="21" t="s">
        <v>299</v>
      </c>
      <c r="C51" s="92">
        <f>C50-C97</f>
        <v>-2080.3982800000031</v>
      </c>
      <c r="D51" s="92">
        <f>D50-D97</f>
        <v>-152.19908000000032</v>
      </c>
      <c r="E51" s="32"/>
      <c r="F51" s="32"/>
    </row>
    <row r="52" spans="1:8">
      <c r="A52" s="23"/>
      <c r="B52" s="24"/>
      <c r="C52" s="208"/>
      <c r="D52" s="208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2356.4079999999999</v>
      </c>
      <c r="D55" s="32">
        <f>D56+D57+D58+D59+D60+D62+D61</f>
        <v>2283.46083</v>
      </c>
      <c r="E55" s="34">
        <f>SUM(D55/C55*100)</f>
        <v>96.904306469847342</v>
      </c>
      <c r="F55" s="34">
        <f>SUM(D55-C55)</f>
        <v>-72.947169999999915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2223.308</v>
      </c>
      <c r="D57" s="37">
        <v>2161.1443300000001</v>
      </c>
      <c r="E57" s="38">
        <f t="shared" ref="E57:E69" si="3">SUM(D57/C57*100)</f>
        <v>97.204000975123563</v>
      </c>
      <c r="F57" s="38">
        <f t="shared" ref="F57:F69" si="4">SUM(D57-C57)</f>
        <v>-62.163669999999911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123.1</v>
      </c>
      <c r="D62" s="37">
        <v>122.3165</v>
      </c>
      <c r="E62" s="38">
        <f t="shared" si="3"/>
        <v>99.363525588952086</v>
      </c>
      <c r="F62" s="38">
        <f t="shared" si="4"/>
        <v>-0.78349999999998943</v>
      </c>
    </row>
    <row r="63" spans="1:8" s="6" customFormat="1">
      <c r="A63" s="41" t="s">
        <v>43</v>
      </c>
      <c r="B63" s="42" t="s">
        <v>44</v>
      </c>
      <c r="C63" s="32">
        <f>C64</f>
        <v>280.75860999999998</v>
      </c>
      <c r="D63" s="32">
        <f>D64</f>
        <v>280.75860999999998</v>
      </c>
      <c r="E63" s="34">
        <f t="shared" si="3"/>
        <v>100</v>
      </c>
      <c r="F63" s="34">
        <f t="shared" si="4"/>
        <v>0</v>
      </c>
    </row>
    <row r="64" spans="1:8">
      <c r="A64" s="43" t="s">
        <v>45</v>
      </c>
      <c r="B64" s="44" t="s">
        <v>46</v>
      </c>
      <c r="C64" s="37">
        <v>280.75860999999998</v>
      </c>
      <c r="D64" s="37">
        <v>280.75860999999998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7.8</v>
      </c>
      <c r="D65" s="32">
        <f>SUM(D68+D69+D70)</f>
        <v>7.6313399999999998</v>
      </c>
      <c r="E65" s="34">
        <f t="shared" si="3"/>
        <v>97.837692307692308</v>
      </c>
      <c r="F65" s="34">
        <f t="shared" si="4"/>
        <v>-0.16866000000000003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>
      <c r="A69" s="46" t="s">
        <v>210</v>
      </c>
      <c r="B69" s="47" t="s">
        <v>211</v>
      </c>
      <c r="C69" s="37">
        <v>2.8</v>
      </c>
      <c r="D69" s="37">
        <v>2.8</v>
      </c>
      <c r="E69" s="38">
        <f t="shared" si="3"/>
        <v>100</v>
      </c>
      <c r="F69" s="38">
        <f t="shared" si="4"/>
        <v>0</v>
      </c>
    </row>
    <row r="70" spans="1:7" s="6" customFormat="1" ht="15.75" customHeight="1">
      <c r="A70" s="46" t="s">
        <v>330</v>
      </c>
      <c r="B70" s="47" t="s">
        <v>384</v>
      </c>
      <c r="C70" s="37">
        <v>2</v>
      </c>
      <c r="D70" s="37">
        <v>2</v>
      </c>
      <c r="E70" s="38">
        <f>SUM(D70/C70*100)</f>
        <v>100</v>
      </c>
      <c r="F70" s="38">
        <f>SUM(D70-C70)</f>
        <v>0</v>
      </c>
    </row>
    <row r="71" spans="1:7" ht="15" customHeight="1">
      <c r="A71" s="30" t="s">
        <v>55</v>
      </c>
      <c r="B71" s="31" t="s">
        <v>56</v>
      </c>
      <c r="C71" s="48">
        <f>SUM(C72:C75)</f>
        <v>5183.3580400000001</v>
      </c>
      <c r="D71" s="48">
        <f>SUM(D72:D75)</f>
        <v>5128.8054899999997</v>
      </c>
      <c r="E71" s="34">
        <f t="shared" ref="E71:E86" si="5">SUM(D71/C71*100)</f>
        <v>98.947544244888775</v>
      </c>
      <c r="F71" s="34">
        <f t="shared" ref="F71:F86" si="6">SUM(D71-C71)</f>
        <v>-54.552550000000338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5108.1980400000002</v>
      </c>
      <c r="D74" s="37">
        <v>5056.3054899999997</v>
      </c>
      <c r="E74" s="38">
        <f t="shared" si="5"/>
        <v>98.9841319856111</v>
      </c>
      <c r="F74" s="38">
        <f t="shared" si="6"/>
        <v>-51.892550000000483</v>
      </c>
    </row>
    <row r="75" spans="1:7" s="6" customFormat="1">
      <c r="A75" s="35" t="s">
        <v>63</v>
      </c>
      <c r="B75" s="39" t="s">
        <v>64</v>
      </c>
      <c r="C75" s="49">
        <v>75.16</v>
      </c>
      <c r="D75" s="37">
        <v>72.5</v>
      </c>
      <c r="E75" s="38">
        <f t="shared" si="5"/>
        <v>96.460883448642903</v>
      </c>
      <c r="F75" s="38">
        <f t="shared" si="6"/>
        <v>-2.6599999999999966</v>
      </c>
    </row>
    <row r="76" spans="1:7" ht="17.25" customHeight="1">
      <c r="A76" s="30" t="s">
        <v>65</v>
      </c>
      <c r="B76" s="31" t="s">
        <v>66</v>
      </c>
      <c r="C76" s="32">
        <f>SUM(C77:C79)</f>
        <v>4934.9865</v>
      </c>
      <c r="D76" s="32">
        <f>SUM(D77:D79)</f>
        <v>4797.1322</v>
      </c>
      <c r="E76" s="34">
        <f t="shared" si="5"/>
        <v>97.206592155824552</v>
      </c>
      <c r="F76" s="34">
        <f t="shared" si="6"/>
        <v>-137.85429999999997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3080.0614999999998</v>
      </c>
      <c r="D78" s="37">
        <v>3042.5770900000002</v>
      </c>
      <c r="E78" s="38">
        <f t="shared" si="5"/>
        <v>98.782998001825632</v>
      </c>
      <c r="F78" s="38">
        <f t="shared" si="6"/>
        <v>-37.484409999999571</v>
      </c>
    </row>
    <row r="79" spans="1:7" s="6" customFormat="1">
      <c r="A79" s="35" t="s">
        <v>71</v>
      </c>
      <c r="B79" s="39" t="s">
        <v>72</v>
      </c>
      <c r="C79" s="37">
        <v>1854.925</v>
      </c>
      <c r="D79" s="37">
        <v>1754.55511</v>
      </c>
      <c r="E79" s="38">
        <f t="shared" si="5"/>
        <v>94.589005485396981</v>
      </c>
      <c r="F79" s="38">
        <f t="shared" si="6"/>
        <v>-100.36988999999994</v>
      </c>
    </row>
    <row r="80" spans="1:7">
      <c r="A80" s="30" t="s">
        <v>81</v>
      </c>
      <c r="B80" s="31" t="s">
        <v>82</v>
      </c>
      <c r="C80" s="32">
        <f>C81</f>
        <v>2312.252</v>
      </c>
      <c r="D80" s="32">
        <f>D81</f>
        <v>2312.2264300000002</v>
      </c>
      <c r="E80" s="34">
        <f t="shared" si="5"/>
        <v>99.998894151675515</v>
      </c>
      <c r="F80" s="34">
        <f t="shared" si="6"/>
        <v>-2.5569999999788706E-2</v>
      </c>
    </row>
    <row r="81" spans="1:6" s="6" customFormat="1" ht="15" customHeight="1">
      <c r="A81" s="35" t="s">
        <v>83</v>
      </c>
      <c r="B81" s="39" t="s">
        <v>225</v>
      </c>
      <c r="C81" s="37">
        <v>2312.252</v>
      </c>
      <c r="D81" s="37">
        <v>2312.2264300000002</v>
      </c>
      <c r="E81" s="38">
        <f t="shared" si="5"/>
        <v>99.998894151675515</v>
      </c>
      <c r="F81" s="38">
        <f t="shared" si="6"/>
        <v>-2.5569999999788706E-2</v>
      </c>
    </row>
    <row r="82" spans="1:6" ht="20.2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85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87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88</v>
      </c>
      <c r="B86" s="39" t="s">
        <v>89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90</v>
      </c>
      <c r="B87" s="31" t="s">
        <v>91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>
      <c r="A88" s="35" t="s">
        <v>92</v>
      </c>
      <c r="B88" s="39" t="s">
        <v>93</v>
      </c>
      <c r="C88" s="37">
        <v>0</v>
      </c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94</v>
      </c>
      <c r="B89" s="39" t="s">
        <v>95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96</v>
      </c>
      <c r="B90" s="39" t="s">
        <v>97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100</v>
      </c>
      <c r="B92" s="39" t="s">
        <v>101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110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111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112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113</v>
      </c>
      <c r="C97" s="243">
        <f>C55+C63+C65+C71+C76+C80+C82+C87+C93</f>
        <v>15075.563150000002</v>
      </c>
      <c r="D97" s="243">
        <f>D55+D63+D65+D71+D76+D80+D82+D87+D93</f>
        <v>14810.0149</v>
      </c>
      <c r="E97" s="34">
        <f t="shared" si="7"/>
        <v>98.238551705446568</v>
      </c>
      <c r="F97" s="34">
        <f>SUM(D97-C97)</f>
        <v>-265.54825000000164</v>
      </c>
    </row>
    <row r="98" spans="1:6" s="65" customFormat="1" ht="22.5" customHeight="1">
      <c r="A98" s="63" t="s">
        <v>114</v>
      </c>
      <c r="B98" s="63"/>
      <c r="C98" s="178"/>
      <c r="D98" s="178"/>
    </row>
    <row r="99" spans="1:6" ht="16.5" customHeight="1">
      <c r="A99" s="66" t="s">
        <v>115</v>
      </c>
      <c r="B99" s="66"/>
      <c r="C99" s="178" t="s">
        <v>116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61528DAC-5C4C-48F4-ADE2-8A724B05A086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A486C6EE-08B2-475E-8DA1-C3C3163412A9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F1E84C44-1ACD-474A-BDE0-C7088DB6C590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F85EE840-0C31-454A-8951-832C2E9E0600}" scale="70" showPageBreaks="1" hiddenRows="1" state="hidden" view="pageBreakPreview" topLeftCell="A4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5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6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8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9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10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12"/>
    </customSheetView>
    <customSheetView guid="{5C539BE6-C8E0-453F-AB5E-9E58094195EA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4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627" t="s">
        <v>421</v>
      </c>
      <c r="B1" s="627"/>
      <c r="C1" s="627"/>
      <c r="D1" s="627"/>
      <c r="E1" s="627"/>
      <c r="F1" s="627"/>
    </row>
    <row r="2" spans="1:6">
      <c r="A2" s="627"/>
      <c r="B2" s="627"/>
      <c r="C2" s="627"/>
      <c r="D2" s="627"/>
      <c r="E2" s="627"/>
      <c r="F2" s="62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5784.1004000000003</v>
      </c>
      <c r="D4" s="5">
        <f>D5+D12+D14+D7+D20+D17</f>
        <v>5365.8486599999997</v>
      </c>
      <c r="E4" s="5">
        <f>SUM(D4/C4*100)</f>
        <v>92.76894052530622</v>
      </c>
      <c r="F4" s="5">
        <f>SUM(D4-C4)</f>
        <v>-418.25174000000061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2334.3494999999998</v>
      </c>
      <c r="E5" s="5">
        <f t="shared" ref="E5:E51" si="0">SUM(D5/C5*100)</f>
        <v>107.03115543328747</v>
      </c>
      <c r="F5" s="5">
        <f t="shared" ref="F5:F51" si="1">SUM(D5-C5)</f>
        <v>153.34949999999981</v>
      </c>
    </row>
    <row r="6" spans="1:6">
      <c r="A6" s="7">
        <v>1010200001</v>
      </c>
      <c r="B6" s="8" t="s">
        <v>220</v>
      </c>
      <c r="C6" s="90">
        <v>2181</v>
      </c>
      <c r="D6" s="10">
        <v>2334.3494999999998</v>
      </c>
      <c r="E6" s="9">
        <f t="shared" ref="E6:E11" si="2">SUM(D6/C6*100)</f>
        <v>107.03115543328747</v>
      </c>
      <c r="F6" s="9">
        <f t="shared" si="1"/>
        <v>153.34949999999981</v>
      </c>
    </row>
    <row r="7" spans="1:6">
      <c r="A7" s="3">
        <v>1030200001</v>
      </c>
      <c r="B7" s="13" t="s">
        <v>258</v>
      </c>
      <c r="C7" s="5">
        <f>C8+C10+C9</f>
        <v>557.10040000000004</v>
      </c>
      <c r="D7" s="5">
        <f>D8+D9+D10+D11</f>
        <v>540.43851999999993</v>
      </c>
      <c r="E7" s="9">
        <f t="shared" si="2"/>
        <v>97.00917823789031</v>
      </c>
      <c r="F7" s="9">
        <f t="shared" si="1"/>
        <v>-16.66188000000011</v>
      </c>
    </row>
    <row r="8" spans="1:6">
      <c r="A8" s="7">
        <v>1030223001</v>
      </c>
      <c r="B8" s="8" t="s">
        <v>261</v>
      </c>
      <c r="C8" s="9">
        <v>270.49939999999998</v>
      </c>
      <c r="D8" s="10">
        <v>270.92563000000001</v>
      </c>
      <c r="E8" s="9">
        <f t="shared" si="2"/>
        <v>100.15757151402185</v>
      </c>
      <c r="F8" s="9">
        <f t="shared" si="1"/>
        <v>0.42623000000003231</v>
      </c>
    </row>
    <row r="9" spans="1:6">
      <c r="A9" s="7">
        <v>1030224001</v>
      </c>
      <c r="B9" s="8" t="s">
        <v>267</v>
      </c>
      <c r="C9" s="9">
        <v>1.8280000000000001</v>
      </c>
      <c r="D9" s="10">
        <v>1.4634100000000001</v>
      </c>
      <c r="E9" s="9">
        <f t="shared" si="2"/>
        <v>80.055251641137858</v>
      </c>
      <c r="F9" s="9">
        <f t="shared" si="1"/>
        <v>-0.36458999999999997</v>
      </c>
    </row>
    <row r="10" spans="1:6">
      <c r="A10" s="7">
        <v>1030225001</v>
      </c>
      <c r="B10" s="8" t="s">
        <v>260</v>
      </c>
      <c r="C10" s="9">
        <v>284.77300000000002</v>
      </c>
      <c r="D10" s="10">
        <v>299.13249999999999</v>
      </c>
      <c r="E10" s="9">
        <f t="shared" si="2"/>
        <v>105.04243730971685</v>
      </c>
      <c r="F10" s="9">
        <f t="shared" si="1"/>
        <v>14.359499999999969</v>
      </c>
    </row>
    <row r="11" spans="1:6">
      <c r="A11" s="7">
        <v>1030226001</v>
      </c>
      <c r="B11" s="8" t="s">
        <v>269</v>
      </c>
      <c r="C11" s="9">
        <v>0</v>
      </c>
      <c r="D11" s="10">
        <v>-31.083020000000001</v>
      </c>
      <c r="E11" s="9" t="e">
        <f t="shared" si="2"/>
        <v>#DIV/0!</v>
      </c>
      <c r="F11" s="9">
        <f t="shared" si="1"/>
        <v>-31.083020000000001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221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2966</v>
      </c>
      <c r="D14" s="5">
        <f>D15+D16</f>
        <v>2437.0741399999997</v>
      </c>
      <c r="E14" s="5">
        <f t="shared" si="0"/>
        <v>82.16703101820633</v>
      </c>
      <c r="F14" s="5">
        <f t="shared" si="1"/>
        <v>-528.92586000000028</v>
      </c>
    </row>
    <row r="15" spans="1:6" s="6" customFormat="1" ht="15" customHeight="1">
      <c r="A15" s="7">
        <v>1060100000</v>
      </c>
      <c r="B15" s="11" t="s">
        <v>238</v>
      </c>
      <c r="C15" s="9">
        <v>1266</v>
      </c>
      <c r="D15" s="10">
        <v>1456.0142499999999</v>
      </c>
      <c r="E15" s="9">
        <f t="shared" si="0"/>
        <v>115.00902448657186</v>
      </c>
      <c r="F15" s="9">
        <f>SUM(D15-C15)</f>
        <v>190.01424999999995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981.05989</v>
      </c>
      <c r="E16" s="9">
        <f t="shared" si="0"/>
        <v>57.709405294117644</v>
      </c>
      <c r="F16" s="9">
        <f t="shared" si="1"/>
        <v>-718.94011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219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121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210.66771</v>
      </c>
      <c r="D25" s="5">
        <f>D26+D29+D31+D34+D36</f>
        <v>760.69497999999999</v>
      </c>
      <c r="E25" s="5">
        <f t="shared" si="0"/>
        <v>361.08760094273583</v>
      </c>
      <c r="F25" s="5">
        <f t="shared" si="1"/>
        <v>550.02727000000004</v>
      </c>
    </row>
    <row r="26" spans="1:6" s="6" customFormat="1" ht="32.25" customHeight="1">
      <c r="A26" s="68">
        <v>1110000000</v>
      </c>
      <c r="B26" s="69" t="s">
        <v>122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124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398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125</v>
      </c>
      <c r="C31" s="5">
        <f>C32+C33</f>
        <v>0</v>
      </c>
      <c r="D31" s="5">
        <f>D32+D33</f>
        <v>15.811</v>
      </c>
      <c r="E31" s="5" t="e">
        <f t="shared" si="0"/>
        <v>#DIV/0!</v>
      </c>
      <c r="F31" s="5">
        <f t="shared" si="1"/>
        <v>15.811</v>
      </c>
    </row>
    <row r="32" spans="1:6" ht="17.25" customHeight="1">
      <c r="A32" s="16">
        <v>1140200000</v>
      </c>
      <c r="B32" s="18" t="s">
        <v>126</v>
      </c>
      <c r="C32" s="9">
        <v>0</v>
      </c>
      <c r="D32" s="10">
        <v>15.811</v>
      </c>
      <c r="E32" s="9" t="e">
        <f t="shared" si="0"/>
        <v>#DIV/0!</v>
      </c>
      <c r="F32" s="9">
        <f t="shared" si="1"/>
        <v>15.811</v>
      </c>
    </row>
    <row r="33" spans="1:7" ht="18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236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128</v>
      </c>
      <c r="C36" s="5">
        <f>C37+C38</f>
        <v>210.66771</v>
      </c>
      <c r="D36" s="5">
        <f>D37+D38</f>
        <v>674.88397999999995</v>
      </c>
      <c r="E36" s="5">
        <v>0</v>
      </c>
      <c r="F36" s="5">
        <f t="shared" si="1"/>
        <v>464.21626999999995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1171503010</v>
      </c>
      <c r="B38" s="11" t="s">
        <v>406</v>
      </c>
      <c r="C38" s="9">
        <v>210.66771</v>
      </c>
      <c r="D38" s="10">
        <v>674.88397999999995</v>
      </c>
      <c r="E38" s="9">
        <v>0</v>
      </c>
      <c r="F38" s="9">
        <f t="shared" si="1"/>
        <v>464.21626999999995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5994.76811</v>
      </c>
      <c r="D39" s="125">
        <f>D4+D25</f>
        <v>6126.5436399999999</v>
      </c>
      <c r="E39" s="5">
        <f t="shared" si="0"/>
        <v>102.19817560215854</v>
      </c>
      <c r="F39" s="5">
        <f t="shared" si="1"/>
        <v>131.77552999999989</v>
      </c>
    </row>
    <row r="40" spans="1:7" s="6" customFormat="1">
      <c r="A40" s="3">
        <v>2000000000</v>
      </c>
      <c r="B40" s="4" t="s">
        <v>17</v>
      </c>
      <c r="C40" s="224">
        <f>C41+C43+C45+C46+C47+C49+C42+C44+C48</f>
        <v>23611.258590000005</v>
      </c>
      <c r="D40" s="397">
        <f>D41+D43+D45+D46+D47+D49+D42+D48</f>
        <v>11525.579339999998</v>
      </c>
      <c r="E40" s="5">
        <f t="shared" si="0"/>
        <v>48.813913481432905</v>
      </c>
      <c r="F40" s="5">
        <f t="shared" si="1"/>
        <v>-12085.679250000007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8286.2999999999993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2021500210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12879.85619</v>
      </c>
      <c r="D43" s="10">
        <v>1640.2046399999999</v>
      </c>
      <c r="E43" s="9">
        <f t="shared" si="0"/>
        <v>12.734650261650165</v>
      </c>
      <c r="F43" s="9">
        <f t="shared" si="1"/>
        <v>-11239.65155</v>
      </c>
    </row>
    <row r="44" spans="1:7" ht="15" hidden="1" customHeight="1">
      <c r="A44" s="16">
        <v>2022999910</v>
      </c>
      <c r="B44" s="18" t="s">
        <v>322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64.344399999999993</v>
      </c>
      <c r="D45" s="180">
        <v>64.316699999999997</v>
      </c>
      <c r="E45" s="9">
        <f t="shared" si="0"/>
        <v>99.956950410602957</v>
      </c>
      <c r="F45" s="9">
        <f t="shared" si="1"/>
        <v>-2.7699999999995839E-2</v>
      </c>
    </row>
    <row r="46" spans="1:7" ht="24" customHeight="1">
      <c r="A46" s="16">
        <v>2020400000</v>
      </c>
      <c r="B46" s="17" t="s">
        <v>21</v>
      </c>
      <c r="C46" s="12">
        <v>2380.7579999999998</v>
      </c>
      <c r="D46" s="181">
        <v>1534.758</v>
      </c>
      <c r="E46" s="9">
        <f t="shared" si="0"/>
        <v>64.465098930676717</v>
      </c>
      <c r="F46" s="9">
        <f t="shared" si="1"/>
        <v>-845.99999999999977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276</v>
      </c>
      <c r="C48" s="12">
        <v>0</v>
      </c>
      <c r="D48" s="181"/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0">
        <f>SUM(C39,C40,C50)</f>
        <v>29606.026700000006</v>
      </c>
      <c r="D51" s="241">
        <f>D39+D40</f>
        <v>17652.12298</v>
      </c>
      <c r="E51" s="92">
        <f t="shared" si="0"/>
        <v>59.62341099962596</v>
      </c>
      <c r="F51" s="92">
        <f t="shared" si="1"/>
        <v>-11953.903720000006</v>
      </c>
      <c r="G51" s="146">
        <f>18968.9976-D51</f>
        <v>1316.8746199999987</v>
      </c>
    </row>
    <row r="52" spans="1:7" s="6" customFormat="1" ht="23.25" customHeight="1">
      <c r="A52" s="3"/>
      <c r="B52" s="21" t="s">
        <v>299</v>
      </c>
      <c r="C52" s="92">
        <f>C51-C98</f>
        <v>-2305.2303199999951</v>
      </c>
      <c r="D52" s="92">
        <f>D51-D98</f>
        <v>-1336.3100200000008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2428.6605100000002</v>
      </c>
      <c r="D56" s="33">
        <f>D57+D58+D59+D60+D61+D63+D62</f>
        <v>2288.1988799999999</v>
      </c>
      <c r="E56" s="34">
        <f>SUM(D56/C56*100)</f>
        <v>94.216497965786075</v>
      </c>
      <c r="F56" s="34">
        <f>SUM(D56-C56)</f>
        <v>-140.46163000000024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2389.4525100000001</v>
      </c>
      <c r="D58" s="37">
        <v>2268.9908799999998</v>
      </c>
      <c r="E58" s="38">
        <f t="shared" ref="E58:E98" si="3">SUM(D58/C58*100)</f>
        <v>94.958609577053267</v>
      </c>
      <c r="F58" s="38">
        <f t="shared" ref="F58:F98" si="4">SUM(D58-C58)</f>
        <v>-120.46163000000024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29.207999999999998</v>
      </c>
      <c r="D63" s="37">
        <v>19.207999999999998</v>
      </c>
      <c r="E63" s="38">
        <f t="shared" si="3"/>
        <v>65.762804711038072</v>
      </c>
      <c r="F63" s="38">
        <f t="shared" si="4"/>
        <v>-10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15</v>
      </c>
      <c r="D66" s="145">
        <f>SUM(D69+D70+D71)</f>
        <v>9.9</v>
      </c>
      <c r="E66" s="34">
        <f t="shared" si="3"/>
        <v>66</v>
      </c>
      <c r="F66" s="34">
        <f t="shared" si="4"/>
        <v>-5.0999999999999996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210</v>
      </c>
      <c r="B70" s="47" t="s">
        <v>211</v>
      </c>
      <c r="C70" s="96">
        <v>10</v>
      </c>
      <c r="D70" s="37">
        <v>7.9</v>
      </c>
      <c r="E70" s="34">
        <f t="shared" si="3"/>
        <v>79</v>
      </c>
      <c r="F70" s="34">
        <f t="shared" si="4"/>
        <v>-2.0999999999999996</v>
      </c>
    </row>
    <row r="71" spans="1:7" ht="17.25" customHeight="1">
      <c r="A71" s="46" t="s">
        <v>330</v>
      </c>
      <c r="B71" s="47" t="s">
        <v>385</v>
      </c>
      <c r="C71" s="96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3588.0214699999997</v>
      </c>
      <c r="D72" s="48">
        <f>SUM(D73:D76)</f>
        <v>3506.3091199999999</v>
      </c>
      <c r="E72" s="34">
        <f t="shared" si="3"/>
        <v>97.722634864835413</v>
      </c>
      <c r="F72" s="34">
        <f t="shared" si="4"/>
        <v>-81.712349999999788</v>
      </c>
    </row>
    <row r="73" spans="1:7" ht="15" customHeight="1">
      <c r="A73" s="35" t="s">
        <v>57</v>
      </c>
      <c r="B73" s="39" t="s">
        <v>58</v>
      </c>
      <c r="C73" s="49">
        <v>64.344399999999993</v>
      </c>
      <c r="D73" s="37">
        <v>64.316699999999997</v>
      </c>
      <c r="E73" s="38">
        <f t="shared" si="3"/>
        <v>99.956950410602957</v>
      </c>
      <c r="F73" s="38">
        <f t="shared" si="4"/>
        <v>-2.7699999999995839E-2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3344.5917199999999</v>
      </c>
      <c r="D75" s="37">
        <v>3332.9070700000002</v>
      </c>
      <c r="E75" s="38">
        <f t="shared" si="3"/>
        <v>99.65064046741108</v>
      </c>
      <c r="F75" s="38">
        <f t="shared" si="4"/>
        <v>-11.684649999999692</v>
      </c>
    </row>
    <row r="76" spans="1:7" ht="18" customHeight="1">
      <c r="A76" s="35" t="s">
        <v>63</v>
      </c>
      <c r="B76" s="39" t="s">
        <v>64</v>
      </c>
      <c r="C76" s="49">
        <v>179.08535000000001</v>
      </c>
      <c r="D76" s="37">
        <v>109.08535000000001</v>
      </c>
      <c r="E76" s="38">
        <f t="shared" si="3"/>
        <v>60.912492283707188</v>
      </c>
      <c r="F76" s="38">
        <f t="shared" si="4"/>
        <v>-70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19062.27504</v>
      </c>
      <c r="D77" s="32">
        <f>D78+D79+D80+D83</f>
        <v>6375.7250000000004</v>
      </c>
      <c r="E77" s="34">
        <f t="shared" si="3"/>
        <v>33.446820941473518</v>
      </c>
      <c r="F77" s="34">
        <f t="shared" si="4"/>
        <v>-12686.55004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735</v>
      </c>
      <c r="D79" s="37">
        <v>713.20635000000004</v>
      </c>
      <c r="E79" s="38">
        <f t="shared" si="3"/>
        <v>97.034877551020415</v>
      </c>
      <c r="F79" s="38">
        <f t="shared" si="4"/>
        <v>-21.793649999999957</v>
      </c>
    </row>
    <row r="80" spans="1:7" ht="17.25" customHeight="1">
      <c r="A80" s="35" t="s">
        <v>71</v>
      </c>
      <c r="B80" s="39" t="s">
        <v>72</v>
      </c>
      <c r="C80" s="37">
        <v>18327.27504</v>
      </c>
      <c r="D80" s="37">
        <v>5662.51865</v>
      </c>
      <c r="E80" s="38">
        <f t="shared" si="3"/>
        <v>30.896675242998917</v>
      </c>
      <c r="F80" s="38">
        <f t="shared" si="4"/>
        <v>-12664.75639</v>
      </c>
    </row>
    <row r="81" spans="1:6" s="6" customFormat="1" ht="18.75" customHeight="1">
      <c r="A81" s="30" t="s">
        <v>81</v>
      </c>
      <c r="B81" s="31" t="s">
        <v>82</v>
      </c>
      <c r="C81" s="32">
        <f>C82</f>
        <v>6815.3</v>
      </c>
      <c r="D81" s="32">
        <f>D82</f>
        <v>6808.3</v>
      </c>
      <c r="E81" s="38">
        <f t="shared" si="3"/>
        <v>99.897289921206706</v>
      </c>
      <c r="F81" s="38">
        <f t="shared" si="4"/>
        <v>-7</v>
      </c>
    </row>
    <row r="82" spans="1:6" ht="19.5" customHeight="1">
      <c r="A82" s="35" t="s">
        <v>83</v>
      </c>
      <c r="B82" s="39" t="s">
        <v>225</v>
      </c>
      <c r="C82" s="37">
        <v>6815.3</v>
      </c>
      <c r="D82" s="37">
        <v>6808.3</v>
      </c>
      <c r="E82" s="38">
        <f t="shared" si="3"/>
        <v>99.897289921206706</v>
      </c>
      <c r="F82" s="38">
        <f t="shared" si="4"/>
        <v>-7</v>
      </c>
    </row>
    <row r="83" spans="1:6" ht="15" hidden="1" customHeight="1">
      <c r="A83" s="35" t="s">
        <v>247</v>
      </c>
      <c r="B83" s="39" t="s">
        <v>248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87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90</v>
      </c>
      <c r="B89" s="31" t="s">
        <v>91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5.75" customHeight="1">
      <c r="A90" s="35" t="s">
        <v>92</v>
      </c>
      <c r="B90" s="39" t="s">
        <v>93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109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111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113</v>
      </c>
      <c r="C98" s="243">
        <f>C56+C72+C77+C84+C89+C95+C66+C81</f>
        <v>31911.257020000001</v>
      </c>
      <c r="D98" s="243">
        <f>SUM(D56+D66+D72+D77+D81+D89)</f>
        <v>18988.433000000001</v>
      </c>
      <c r="E98" s="34">
        <f t="shared" si="3"/>
        <v>59.503870336725463</v>
      </c>
      <c r="F98" s="34">
        <f t="shared" si="4"/>
        <v>-12922.82402</v>
      </c>
      <c r="G98" s="193"/>
    </row>
    <row r="99" spans="1:7" ht="20.25" customHeight="1">
      <c r="D99" s="175"/>
    </row>
    <row r="100" spans="1:7" s="65" customFormat="1" ht="13.5" customHeight="1">
      <c r="A100" s="63" t="s">
        <v>114</v>
      </c>
      <c r="B100" s="63"/>
      <c r="C100" s="117"/>
      <c r="D100" s="64"/>
    </row>
    <row r="101" spans="1:7" s="65" customFormat="1" ht="12.75">
      <c r="A101" s="66" t="s">
        <v>115</v>
      </c>
      <c r="B101" s="66"/>
      <c r="C101" s="132" t="s">
        <v>116</v>
      </c>
      <c r="D101" s="132"/>
    </row>
    <row r="102" spans="1:7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A486C6EE-08B2-475E-8DA1-C3C3163412A9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F1E84C44-1ACD-474A-BDE0-C7088DB6C590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3"/>
    </customSheetView>
    <customSheetView guid="{F85EE840-0C31-454A-8951-832C2E9E0600}" scale="70" showPageBreaks="1" printArea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4"/>
    </customSheetView>
    <customSheetView guid="{3DCB9AAA-F09C-4EA6-B992-F93E466D374A}" printArea="1" hiddenRows="1" topLeftCell="A31">
      <selection activeCell="B100" sqref="B100"/>
      <pageMargins left="0.7" right="0.7" top="0.75" bottom="0.75" header="0.3" footer="0.3"/>
      <pageSetup paperSize="9" scale="50" orientation="portrait" r:id="rId5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6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8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9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10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5C539BE6-C8E0-453F-AB5E-9E58094195EA}" scale="70" showPageBreaks="1" printArea="1" hiddenRows="1" view="pageBreakPreview" topLeftCell="A34">
      <selection activeCell="C77" sqref="C77"/>
      <pageMargins left="0.70866141732283472" right="0.70866141732283472" top="0.74803149606299213" bottom="0.74803149606299213" header="0.31496062992125984" footer="0.31496062992125984"/>
      <pageSetup paperSize="9" scale="58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10</vt:i4>
      </vt:variant>
    </vt:vector>
  </HeadingPairs>
  <TitlesOfParts>
    <vt:vector size="35" baseType="lpstr">
      <vt:lpstr>Консол</vt:lpstr>
      <vt:lpstr>Справка</vt:lpstr>
      <vt:lpstr>район</vt:lpstr>
      <vt:lpstr>Лист5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Ярос</vt:lpstr>
      <vt:lpstr>Лист1</vt:lpstr>
      <vt:lpstr>Лист2</vt:lpstr>
      <vt:lpstr>Лист3</vt:lpstr>
      <vt:lpstr>Лист4</vt:lpstr>
      <vt:lpstr>Лист6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morgau_fin3</cp:lastModifiedBy>
  <cp:lastPrinted>2025-01-16T13:50:34Z</cp:lastPrinted>
  <dcterms:created xsi:type="dcterms:W3CDTF">1996-10-08T23:32:33Z</dcterms:created>
  <dcterms:modified xsi:type="dcterms:W3CDTF">2025-01-17T08:13:36Z</dcterms:modified>
</cp:coreProperties>
</file>