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5476" windowWidth="15195" windowHeight="11760" tabRatio="882" firstSheet="9" activeTab="28"/>
  </bookViews>
  <sheets>
    <sheet name="Р1" sheetId="1" r:id="rId1"/>
    <sheet name="Р2" sheetId="2" r:id="rId2"/>
    <sheet name="Р3" sheetId="3" r:id="rId3"/>
    <sheet name="Р4" sheetId="4" r:id="rId4"/>
    <sheet name="Р5" sheetId="5" r:id="rId5"/>
    <sheet name="Р6" sheetId="6" r:id="rId6"/>
    <sheet name="Р7" sheetId="7" r:id="rId7"/>
    <sheet name="Р8" sheetId="8" r:id="rId8"/>
    <sheet name="Р9" sheetId="9" r:id="rId9"/>
    <sheet name="Р10" sheetId="10" r:id="rId10"/>
    <sheet name="Р11" sheetId="11" r:id="rId11"/>
    <sheet name="Р12" sheetId="12" r:id="rId12"/>
    <sheet name="Р13" sheetId="13" r:id="rId13"/>
    <sheet name="Р14" sheetId="14" r:id="rId14"/>
    <sheet name="Р15" sheetId="15" r:id="rId15"/>
    <sheet name="Р16" sheetId="16" r:id="rId16"/>
    <sheet name="Р17" sheetId="17" r:id="rId17"/>
    <sheet name="Р18" sheetId="18" r:id="rId18"/>
    <sheet name="Р19" sheetId="19" r:id="rId19"/>
    <sheet name="Р20" sheetId="20" r:id="rId20"/>
    <sheet name="Р21" sheetId="21" r:id="rId21"/>
    <sheet name="Р22" sheetId="22" r:id="rId22"/>
    <sheet name="Р23" sheetId="23" r:id="rId23"/>
    <sheet name="Р24" sheetId="24" r:id="rId24"/>
    <sheet name="Р25" sheetId="25" r:id="rId25"/>
    <sheet name="Р26" sheetId="26" r:id="rId26"/>
    <sheet name="Р27" sheetId="27" r:id="rId27"/>
    <sheet name="Р28" sheetId="28" r:id="rId28"/>
    <sheet name="Результаты оценки" sheetId="29" r:id="rId29"/>
    <sheet name="Сводный рейтинг" sheetId="30" r:id="rId30"/>
  </sheets>
  <definedNames>
    <definedName name="_xlnm.Print_Area" localSheetId="0">'Р1'!$A$1:$F$10</definedName>
    <definedName name="_xlnm.Print_Area" localSheetId="9">'Р10'!$A$1:$F$9</definedName>
    <definedName name="_xlnm.Print_Area" localSheetId="10">'Р11'!$A$1:$F$9</definedName>
    <definedName name="_xlnm.Print_Area" localSheetId="11">'Р12'!$A$1:$F$9</definedName>
    <definedName name="_xlnm.Print_Area" localSheetId="12">'Р13'!$A$1:$F$9</definedName>
    <definedName name="_xlnm.Print_Area" localSheetId="13">'Р14'!$A$1:$F$9</definedName>
    <definedName name="_xlnm.Print_Area" localSheetId="14">'Р15'!$A$1:$F$9</definedName>
    <definedName name="_xlnm.Print_Area" localSheetId="15">'Р16'!$A$1:$F$9</definedName>
    <definedName name="_xlnm.Print_Area" localSheetId="16">'Р17'!$A$1:$F$9</definedName>
    <definedName name="_xlnm.Print_Area" localSheetId="17">'Р18'!$A$1:$H$18</definedName>
    <definedName name="_xlnm.Print_Area" localSheetId="18">'Р19'!$A$1:$F$9</definedName>
    <definedName name="_xlnm.Print_Area" localSheetId="1">'Р2'!$A$1:$F$10</definedName>
    <definedName name="_xlnm.Print_Area" localSheetId="19">'Р20'!$A$1:$D$9</definedName>
    <definedName name="_xlnm.Print_Area" localSheetId="20">'Р21'!$A$1:$D$9</definedName>
    <definedName name="_xlnm.Print_Area" localSheetId="21">'Р22'!$A$1:$D$9</definedName>
    <definedName name="_xlnm.Print_Area" localSheetId="22">'Р23'!$A$1:$F$9</definedName>
    <definedName name="_xlnm.Print_Area" localSheetId="23">'Р24'!$A$1:$F$9</definedName>
    <definedName name="_xlnm.Print_Area" localSheetId="24">'Р25'!$A$1:$D$9</definedName>
    <definedName name="_xlnm.Print_Area" localSheetId="25">'Р26'!$A$1:$D$9</definedName>
    <definedName name="_xlnm.Print_Area" localSheetId="26">'Р27'!$A$1:$F$9</definedName>
    <definedName name="_xlnm.Print_Area" localSheetId="27">'Р28'!$A$1:$F$9</definedName>
    <definedName name="_xlnm.Print_Area" localSheetId="2">'Р3'!$A$1:$E$10</definedName>
    <definedName name="_xlnm.Print_Area" localSheetId="3">'Р4'!$A$1:$E$10</definedName>
    <definedName name="_xlnm.Print_Area" localSheetId="4">'Р5'!$A$1:$F$10</definedName>
    <definedName name="_xlnm.Print_Area" localSheetId="5">'Р6'!$A$1:$F$10</definedName>
    <definedName name="_xlnm.Print_Area" localSheetId="6">'Р7'!$A$1:$J$9</definedName>
    <definedName name="_xlnm.Print_Area" localSheetId="7">'Р8'!$A$1:$H$9</definedName>
    <definedName name="_xlnm.Print_Area" localSheetId="8">'Р9'!$A$1:$H$9</definedName>
    <definedName name="_xlnm.Print_Area" localSheetId="28">'Результаты оценки'!$A$1:$D$168</definedName>
  </definedNames>
  <calcPr fullCalcOnLoad="1"/>
</workbook>
</file>

<file path=xl/sharedStrings.xml><?xml version="1.0" encoding="utf-8"?>
<sst xmlns="http://schemas.openxmlformats.org/spreadsheetml/2006/main" count="837" uniqueCount="329">
  <si>
    <t xml:space="preserve">Объем выявленных контрольными органами нарушений в денежном выражении при исполнении бюджета Порецкого района ГРБС </t>
  </si>
  <si>
    <t>(Р19)</t>
  </si>
  <si>
    <t xml:space="preserve">Р20 = 1, при наличии методических рекомендаций
Р20 = 0, при отсутствии методических рекомендаций
</t>
  </si>
  <si>
    <t>Методические рекомендации ГРБС по реализации государственной учетной политики</t>
  </si>
  <si>
    <t>Р21 = 1, если управленческий (аналитический) учет закреплен в ведомственном акте ГРБС и внедрен в практику</t>
  </si>
  <si>
    <t>Р21 = 0, если управленческий (аналитический) учет не ведется, ведомственный акт ГРБС отсутствует</t>
  </si>
  <si>
    <t>Подготовка и внедрение управленческого (аналитического) учета</t>
  </si>
  <si>
    <t>Р22 – наличие отчета о проведении соответствующего мониторинга и публикации рейтинга результатов деятельности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учредителя, на официальном сайте ГРБС</t>
  </si>
  <si>
    <t>Проведение ГРБС мониторинга результатов деятельности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</t>
  </si>
  <si>
    <t>в информационнотелекоммуникационной сети Интернет</t>
  </si>
  <si>
    <t>Р22 – отсутствие  отчета о проведении соответствующего мониторинга и публикации рейтинга результатов деятельности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учредителя, на официальном сайте ГРБС в информационнотелекоммуникационной сети Интернет</t>
  </si>
  <si>
    <t>Нарушения, выявленные в ходе проведения внешних контрольных мероприятий в отчетном финансовом году</t>
  </si>
  <si>
    <t>* Для ГРБС, имеющего подведомственные казенные учреждения Порецкого района, бюджетные и автономные учреждения Порецкого района, в отношении которых ГРБС осуществляет функции и полномочия учредителя, значение показателя рассчитывается с учетом внутренних контрольных мероприятий, проведенных в данных муниципальных учреждениях Порецкого района.</t>
  </si>
  <si>
    <t>(Р22)</t>
  </si>
  <si>
    <t>(Р23)</t>
  </si>
  <si>
    <t>(Р24)</t>
  </si>
  <si>
    <t>Нарушения, выявленные в ходе проведения внутренних контрольных мероприятий в отчетном финансовом году</t>
  </si>
  <si>
    <t>(Р25)</t>
  </si>
  <si>
    <t>Р25 – наличие отраслевого акта ГРБС об организации ведомственного финансового контроля</t>
  </si>
  <si>
    <t>Р25 – отсутствие отраслевого акта ГРБС об организации ведомственного финансового контроля</t>
  </si>
  <si>
    <t>Наличие подразделения финансового контроля либо уполномоченных должностных лиц</t>
  </si>
  <si>
    <t>Р26 – наличие подразделения финансового контроля либо уполномоченных должностных лиц</t>
  </si>
  <si>
    <t>Р26 – отсутствие подразделения финансового контроля либо уполномоченных должностных лиц</t>
  </si>
  <si>
    <t>(Р27)</t>
  </si>
  <si>
    <t>(Р26)</t>
  </si>
  <si>
    <r>
      <t>Кассовое исполнение расходов ГРБС в отчетном периоде</t>
    </r>
    <r>
      <rPr>
        <b/>
        <sz val="10"/>
        <rFont val="Calibri"/>
        <family val="2"/>
      </rPr>
      <t xml:space="preserve"> (V)</t>
    </r>
  </si>
  <si>
    <t>(Р28)</t>
  </si>
  <si>
    <t>Объем выставленных исковых требований по решениям суда (исполнительным документам) в денежном выражении</t>
  </si>
  <si>
    <t>Соблюдеие установленных сроков представления документов и материалов к формированию проектов бюджета</t>
  </si>
  <si>
    <t>№ п/п</t>
  </si>
  <si>
    <t>Наименование ГРБС</t>
  </si>
  <si>
    <t>(гр.3-гр.4)/гр.3*100</t>
  </si>
  <si>
    <t>Администрация</t>
  </si>
  <si>
    <t>Финансовый отдел</t>
  </si>
  <si>
    <t>Баллы</t>
  </si>
  <si>
    <r>
      <t xml:space="preserve">Количество материалов, которое необходимо представить в рамках бюджетного процесса в установленные сроки </t>
    </r>
    <r>
      <rPr>
        <b/>
        <sz val="10"/>
        <rFont val="Calibri"/>
        <family val="2"/>
      </rPr>
      <t>(Е)</t>
    </r>
  </si>
  <si>
    <t>(Р1)</t>
  </si>
  <si>
    <t>Полнота информации о расходных обязательствах, исполняемых ГРБС, представленной в РРО</t>
  </si>
  <si>
    <r>
      <t xml:space="preserve">Общее количество расходных обязательств, подлежащих исполнению ГРБС в очередном финансовом году и плановом периодее </t>
    </r>
    <r>
      <rPr>
        <b/>
        <sz val="10"/>
        <rFont val="Calibri"/>
        <family val="2"/>
      </rPr>
      <t>(N)</t>
    </r>
  </si>
  <si>
    <r>
      <t xml:space="preserve">Количество расходных обязательств, подлежащих исполнению ГРБС, которые не указаны или по которым неправильно указаны основания для возникновения расходного обязательства, коды функциональной и экономической классификации расходов бюджета, по которым предусмотренны ассигнования на исполнение расходного обязательства </t>
    </r>
    <r>
      <rPr>
        <b/>
        <sz val="10"/>
        <rFont val="Calibri"/>
        <family val="2"/>
      </rPr>
      <t>(Nо)</t>
    </r>
  </si>
  <si>
    <t>(Р2)</t>
  </si>
  <si>
    <t>Внесение изменений в сводную бюджетную роспись, связанных с перемещением бюджетных ассигнований в ходе исполнения бюджета</t>
  </si>
  <si>
    <t>гр.4=гр.3</t>
  </si>
  <si>
    <t>Внесение изменений в кассовый план в ходе исполнения бюджета в части доходов, расходов и источников финансирования дефицита бюджета</t>
  </si>
  <si>
    <t>Количество случаев изменений в кассовый план в ходе исполнения бюджета в части доходов, расходов и источников финансирования дефицита бюджета за исключением случаев связанных с: 1. уточнением параметров бюджета; 2. Поступлением межбюджетных трансфертов; 3. расходованием средств резервного фонда; 4. реорганизацией (ликвидацией) ГРБС и (или) подведомственных ГРБС казенных учреждений; 5. перераспределением сумм, зарезервированных решением Собрания депутатов, в порядке , установленном пунктом 3 статьи 217 БК РФ</t>
  </si>
  <si>
    <t>(Р3)</t>
  </si>
  <si>
    <t>(Р4)</t>
  </si>
  <si>
    <t>(Р5)</t>
  </si>
  <si>
    <t>Отклонение фактического исполнения кассового плана по доходам от первоначального плана доходов, заявленного ГРБС до начала финансового года</t>
  </si>
  <si>
    <t>Модуль</t>
  </si>
  <si>
    <r>
      <t xml:space="preserve">Общая сумма бюджетных ассигнований ГРБС, предусмотренная решением Собрания депутатов Порецкого района о бюджете Порецкого района на очередной финансовый год и плановый период, в отчетном (текущем) финансовом году </t>
    </r>
    <r>
      <rPr>
        <b/>
        <sz val="10"/>
        <rFont val="Calibri"/>
        <family val="2"/>
      </rPr>
      <t>(S)</t>
    </r>
  </si>
  <si>
    <r>
      <t>гр.3/гр.4</t>
    </r>
    <r>
      <rPr>
        <sz val="10"/>
        <rFont val="Calibri"/>
        <family val="2"/>
      </rPr>
      <t>*100</t>
    </r>
  </si>
  <si>
    <r>
      <t xml:space="preserve">Общее количество автономных учреждений Порецкого района </t>
    </r>
    <r>
      <rPr>
        <b/>
        <sz val="10"/>
        <rFont val="Calibri"/>
        <family val="2"/>
      </rPr>
      <t>(КАУ)</t>
    </r>
  </si>
  <si>
    <r>
      <t xml:space="preserve">Общее количество бюджетных учреждений Порецкого района </t>
    </r>
    <r>
      <rPr>
        <b/>
        <sz val="10"/>
        <rFont val="Calibri"/>
        <family val="2"/>
      </rPr>
      <t>(КБУ)</t>
    </r>
  </si>
  <si>
    <t>(гр.3+гр.4+гр.5)/(гр.6+гр.7+гр.8)*100</t>
  </si>
  <si>
    <t>(Р6)</t>
  </si>
  <si>
    <t>(Р7)</t>
  </si>
  <si>
    <t>модуль</t>
  </si>
  <si>
    <t>(Р9)</t>
  </si>
  <si>
    <t>(гр.3+гр.4)/(гр.5+гр.6)*100</t>
  </si>
  <si>
    <t>(Р10)</t>
  </si>
  <si>
    <t>гр.3/гр.4*100</t>
  </si>
  <si>
    <t>(Р13)</t>
  </si>
  <si>
    <t>Доля бюджетных ассигнований ГРБС, направляемых на финансирование районных целевых программ Порецкого района, ответственным исполнителем (муниципальным заказчиком) которых является ГРБС, в общей сумме бюджетных ассигнований ГРБС, утвержденных решением Собрания депутатов Порецкого района о  бюджете Порецкого района на очередной финансовый год и плановый период</t>
  </si>
  <si>
    <t>Доля подведомственных ГРБС казенных учреждений Порецкого района автономных и бюджетных учреждений Порецкого района, в отношении которых ГРБС осуществляет функции и полномочия учредителя, для которых установлены муниципальные задания (объем бюджетных ассигнований на оказание муниципальных услуг (выполнение работ) определен с учетом качества оказания муниципальных услуг (выполнения работ)), в общем числе казенных, автономных и бюджетных учреждений Порецкого района</t>
  </si>
  <si>
    <t>Доля муниципальных учреждений Порецкого района, для которых объем бюджетных ассигнований на оказание муниципальных услуг (выполнение работ) определен с учетом требований к качеству оказания муниципальных услуг (выполнения работ)</t>
  </si>
  <si>
    <t>Отклонение фактического исполнения кассового плана по доходам бюджета Порецкого района от уточненного планового значения, заявленного ГРБС</t>
  </si>
  <si>
    <t>Отклонение фактического исполнения кассового плана по расходам бюджета Порецкого района от уточненного планового значения, заявленного ГРБС</t>
  </si>
  <si>
    <r>
      <t xml:space="preserve">Фактическое исполнение кассового плана по доходам бюджета за отчетный период, за исключением межбюджетных трансфертов из федерального бюджета и дополнительных поступлений доходов по итогам проведенных аукционов </t>
    </r>
    <r>
      <rPr>
        <b/>
        <sz val="10"/>
        <rFont val="Calibri"/>
        <family val="2"/>
      </rPr>
      <t>(Еф)</t>
    </r>
  </si>
  <si>
    <r>
      <t xml:space="preserve">Первоначальные показатели кассового плана по доходам бюджета, за исключением межбюджетных трансфертов из федерального бюджета </t>
    </r>
    <r>
      <rPr>
        <b/>
        <sz val="10"/>
        <rFont val="Calibri"/>
        <family val="2"/>
      </rPr>
      <t>(Еб)</t>
    </r>
  </si>
  <si>
    <r>
      <t>Общая сумма кассовых расходов ГРБС и подведомственных ГРБС казенных учреждений Порецкого района, бюджетных и автономных учреждений Порецкого района,  в отношении которых ГРБС осуществляет функции и полномочия учредителя, в отчетном финансовом году, в том числе на предоставление субсидий бюджетным и автономным учреждениям Порецкого района</t>
    </r>
    <r>
      <rPr>
        <b/>
        <sz val="10"/>
        <rFont val="Calibri"/>
        <family val="2"/>
      </rPr>
      <t xml:space="preserve"> (S)</t>
    </r>
  </si>
  <si>
    <r>
      <t xml:space="preserve">Уточненные показатели кассового плана по расходам бюджета Порецкого района на соответствующий период  (I квартал, I полугодие, девять месяцев, год), за исключением* средств резервного фонда администрации Порецкого района </t>
    </r>
    <r>
      <rPr>
        <b/>
        <sz val="10"/>
        <rFont val="Calibri"/>
        <family val="2"/>
      </rPr>
      <t>(Еп)</t>
    </r>
  </si>
  <si>
    <t xml:space="preserve">СВОДНЫЙ РЕЙТИНГ </t>
  </si>
  <si>
    <t>главных распорядителей средств бюджета</t>
  </si>
  <si>
    <t>Порецкого района по качеству финансового менеджмента</t>
  </si>
  <si>
    <t>Место</t>
  </si>
  <si>
    <t>Наименование</t>
  </si>
  <si>
    <t xml:space="preserve">Суммарная оценка качества финансо­вого менеджмента </t>
  </si>
  <si>
    <t>Уровень качества финансового менеджмента, %</t>
  </si>
  <si>
    <t xml:space="preserve">Оценка среднего уровня качества финансового менеджмента главных распорядителей средств бюджета Порецкого района </t>
  </si>
  <si>
    <t>х</t>
  </si>
  <si>
    <r>
      <t xml:space="preserve">* Для расчета значения показателя по итогам I квартала, I полугодия и девяти месяцев </t>
    </r>
    <r>
      <rPr>
        <b/>
        <sz val="12"/>
        <rFont val="Times New Roman"/>
        <family val="1"/>
      </rPr>
      <t>межбюджетные трансферты из федерального бюджета</t>
    </r>
    <r>
      <rPr>
        <sz val="12"/>
        <rFont val="Times New Roman"/>
        <family val="1"/>
      </rPr>
      <t xml:space="preserve"> не учитываются.</t>
    </r>
  </si>
  <si>
    <t>(|гр.3-гр.4|)/гр.4*100</t>
  </si>
  <si>
    <t>Наличие у ГРБС акта об организации ведомственного финансового контроля</t>
  </si>
  <si>
    <r>
      <t xml:space="preserve">* Для расчета значения показателя по итогам I квартала, I полугодия и девяти месяцев </t>
    </r>
    <r>
      <rPr>
        <b/>
        <sz val="12"/>
        <rFont val="Times New Roman"/>
        <family val="1"/>
      </rPr>
      <t>межбюджетные трансферты из других бюджетов бюджетной системы Российской Федерации не учитываются.</t>
    </r>
    <r>
      <rPr>
        <sz val="12"/>
        <rFont val="Times New Roman"/>
        <family val="1"/>
      </rPr>
      <t xml:space="preserve">
Для расчета значения показателя по итогам года не учитываются межбюджетные трансферты из других бюджетов бюджетной системы Российской Федерации, поступившие в доход бюджета Порецкого района в декабре отчетного года сверх показателей, предусмотренных решением Собрания депутатов Порецкого района о бюджете Порецкого района на очередной финансовый год и плановый период и кассовым планом исполнения бюджета Порецкого района </t>
    </r>
  </si>
  <si>
    <t xml:space="preserve">Приостановление операций по расходованию средств на лицевых счетах ГРБС,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Порецкого </t>
  </si>
  <si>
    <t>100/90</t>
  </si>
  <si>
    <t>80/90</t>
  </si>
  <si>
    <t>70/80</t>
  </si>
  <si>
    <t>60/70</t>
  </si>
  <si>
    <t>50/60</t>
  </si>
  <si>
    <t>&lt;=1</t>
  </si>
  <si>
    <t xml:space="preserve"> =2</t>
  </si>
  <si>
    <t>&gt;2</t>
  </si>
  <si>
    <t xml:space="preserve"> =0</t>
  </si>
  <si>
    <t xml:space="preserve"> =1</t>
  </si>
  <si>
    <t xml:space="preserve"> =3</t>
  </si>
  <si>
    <t xml:space="preserve"> =4</t>
  </si>
  <si>
    <t>&gt;4</t>
  </si>
  <si>
    <t>0/3</t>
  </si>
  <si>
    <t>&gt;15</t>
  </si>
  <si>
    <t>3/5</t>
  </si>
  <si>
    <t>5/10</t>
  </si>
  <si>
    <t>10/12</t>
  </si>
  <si>
    <t>12/15</t>
  </si>
  <si>
    <t>50/70</t>
  </si>
  <si>
    <t>40/50</t>
  </si>
  <si>
    <t>30/40</t>
  </si>
  <si>
    <t>20/30</t>
  </si>
  <si>
    <t>&lt;20</t>
  </si>
  <si>
    <t>90/95</t>
  </si>
  <si>
    <t>85/90</t>
  </si>
  <si>
    <t>80/85</t>
  </si>
  <si>
    <t>&lt;70</t>
  </si>
  <si>
    <t>90/85</t>
  </si>
  <si>
    <t>75/85</t>
  </si>
  <si>
    <t>50/75</t>
  </si>
  <si>
    <t>25/50</t>
  </si>
  <si>
    <t>&lt;25</t>
  </si>
  <si>
    <t>1,5/3</t>
  </si>
  <si>
    <t>3/4,5</t>
  </si>
  <si>
    <t>4,5/6</t>
  </si>
  <si>
    <t>6/7,5</t>
  </si>
  <si>
    <t>7,5</t>
  </si>
  <si>
    <t>0/5</t>
  </si>
  <si>
    <t>10/20</t>
  </si>
  <si>
    <t>&gt;40</t>
  </si>
  <si>
    <t>0/1,5</t>
  </si>
  <si>
    <t>&gt;6</t>
  </si>
  <si>
    <t>0/15</t>
  </si>
  <si>
    <t>15/30</t>
  </si>
  <si>
    <t>30/50</t>
  </si>
  <si>
    <t>&gt;50</t>
  </si>
  <si>
    <t>10/15</t>
  </si>
  <si>
    <t>15/20</t>
  </si>
  <si>
    <t>&gt;20</t>
  </si>
  <si>
    <t>да</t>
  </si>
  <si>
    <t>нет</t>
  </si>
  <si>
    <t>&gt;0</t>
  </si>
  <si>
    <r>
      <t xml:space="preserve">Количество материалов представленных с нарушением сроков </t>
    </r>
    <r>
      <rPr>
        <b/>
        <sz val="10"/>
        <rFont val="Calibri"/>
        <family val="2"/>
      </rPr>
      <t>(Ен)</t>
    </r>
  </si>
  <si>
    <t>не учитывать?</t>
  </si>
  <si>
    <t>не применять</t>
  </si>
  <si>
    <r>
      <t xml:space="preserve">Общая сумма исковых требований, определенная судом к взысканию по судебным актам, вступившим в законную силу, в отчетном периоде по ГРБС в денежном выражении </t>
    </r>
    <r>
      <rPr>
        <b/>
        <sz val="10"/>
        <rFont val="Calibri"/>
        <family val="2"/>
      </rPr>
      <t>(Vи)</t>
    </r>
  </si>
  <si>
    <r>
      <t xml:space="preserve">Количество подведомственных ГРБС казенных учреждений Порецкого района, для которых установлены государственные задания </t>
    </r>
    <r>
      <rPr>
        <b/>
        <sz val="10"/>
        <rFont val="Calibri"/>
        <family val="2"/>
      </rPr>
      <t>(ККУЗ)</t>
    </r>
  </si>
  <si>
    <r>
      <t xml:space="preserve">Количество автономных учреждений Порецкого района, в отношении которых ГРБС осуществляет функции и полномочия учредителя, для которых финансовое обеспечение муниципального задания (в части оказания муниципальных услуг (выполнения работ)) определено на основе формализованного расчета, использующего показатели, характеризующие качество оказания муниципальных услуг (выполнения работ) </t>
    </r>
    <r>
      <rPr>
        <b/>
        <sz val="10"/>
        <rFont val="Calibri"/>
        <family val="2"/>
      </rPr>
      <t>(КОАУ)</t>
    </r>
  </si>
  <si>
    <r>
      <t xml:space="preserve">Количество бюджетных учреждений Порецкого района, в отношении которых ГРБС осуществляет функции и полномочия учредителя, для которых финансовое обеспечение муниципального задания (в части оказания муниципальных услуг (выполнения работ)) определено на основе формализованного расчета, использующего показатели, характеризующие качество оказания муниципальных услуг (выполнения работ) </t>
    </r>
    <r>
      <rPr>
        <b/>
        <sz val="10"/>
        <rFont val="Calibri"/>
        <family val="2"/>
      </rPr>
      <t>(КОБУ)</t>
    </r>
  </si>
  <si>
    <r>
      <t xml:space="preserve">Общее количество казенных учреждений Порецкого района </t>
    </r>
    <r>
      <rPr>
        <b/>
        <sz val="10"/>
        <rFont val="Calibri"/>
        <family val="2"/>
      </rPr>
      <t>(ККУ)</t>
    </r>
  </si>
  <si>
    <r>
      <t xml:space="preserve">Количество автономных  учреждений Порецкого района, в отношении которых ГРБС осуществляет функции и полномочия учредителя, для которых финансовое обеспечение муниципального задания (в части оказания муниципальных услуг (выполнения работ)) определено на основе формализованного расчета, использующего показатели, характеризующие качество оказания муниципальных услуг (выполнения работ) </t>
    </r>
    <r>
      <rPr>
        <b/>
        <sz val="10"/>
        <rFont val="Calibri"/>
        <family val="2"/>
      </rPr>
      <t>(КОАУ)</t>
    </r>
  </si>
  <si>
    <r>
      <t xml:space="preserve">Cумма бюджетных ассигнований ГРБС, направленная на финансирование районных целевых программ Порецкого района в отчетном (текущем) финансовом году </t>
    </r>
    <r>
      <rPr>
        <b/>
        <sz val="10"/>
        <rFont val="Calibri"/>
        <family val="2"/>
      </rPr>
      <t>(Sp)</t>
    </r>
  </si>
  <si>
    <r>
      <t xml:space="preserve">Фактическое исполнение кассового плана по расходам бюджета Порецкого района за отчетный период (I квартал, I полугодие, девять месяцев, год)* </t>
    </r>
    <r>
      <rPr>
        <b/>
        <sz val="10"/>
        <rFont val="Calibri"/>
        <family val="2"/>
      </rPr>
      <t>(Еф)</t>
    </r>
  </si>
  <si>
    <r>
      <t xml:space="preserve">Количество контрольных мероприятий, проведенных в отчетном периоде </t>
    </r>
    <r>
      <rPr>
        <b/>
        <sz val="10"/>
        <rFont val="Calibri"/>
        <family val="2"/>
      </rPr>
      <t>(Ккм)</t>
    </r>
  </si>
  <si>
    <r>
      <t xml:space="preserve">Количество внешних контрольных мероприятий, проведенных финансовым отделом (другими контролирующими органами), в ходе которых выявлены финансовые нарушения, в отчетном периоде </t>
    </r>
    <r>
      <rPr>
        <b/>
        <sz val="10"/>
        <rFont val="Calibri"/>
        <family val="2"/>
      </rPr>
      <t>(Ккмн)</t>
    </r>
  </si>
  <si>
    <r>
      <t xml:space="preserve"> Количество внутренних контрольных мероприятий*, в ходе которых выявлены финансовые нарушения, в отчетном периоде </t>
    </r>
    <r>
      <rPr>
        <b/>
        <sz val="10"/>
        <rFont val="Calibri"/>
        <family val="2"/>
      </rPr>
      <t>(Ккмн)</t>
    </r>
  </si>
  <si>
    <r>
      <t xml:space="preserve">Количество внутренних контрольных мероприятий*, проведенных в отчетном периоде </t>
    </r>
    <r>
      <rPr>
        <b/>
        <sz val="10"/>
        <rFont val="Calibri"/>
        <family val="2"/>
      </rPr>
      <t>(Ккм)</t>
    </r>
  </si>
  <si>
    <r>
      <t xml:space="preserve">Общее число подведомственных ГРБС получателей средств бюджета Порецкого района по состоянию на конец отчетного периода </t>
    </r>
    <r>
      <rPr>
        <b/>
        <sz val="10"/>
        <rFont val="Calibri"/>
        <family val="2"/>
      </rPr>
      <t>(N)</t>
    </r>
  </si>
  <si>
    <r>
      <t xml:space="preserve">Количество направленных финансовым отделом уведомлений о приостановлении операций по расходованию средств на лицевых счетах ГРБС, подведомственных ГРБС казенных учреждений Порецкого района, бюджетных и автономных учреждений Порецкого района, в отношении которых ГРБС осуществляет функции и полномочия учредителя, в связи с нарушением процедур исполнения судебных актов, предусматривающих обращение взыскания на средства бюджета Порецкого района, в отчетном периоде </t>
    </r>
    <r>
      <rPr>
        <b/>
        <sz val="10"/>
        <rFont val="Calibri"/>
        <family val="2"/>
      </rPr>
      <t>(Np)</t>
    </r>
  </si>
  <si>
    <t>(наименование главного распорядителя средств бюджета Порецкого района)</t>
  </si>
  <si>
    <t>(отчетный период)</t>
  </si>
  <si>
    <t>Код показателя</t>
  </si>
  <si>
    <t>Оценка</t>
  </si>
  <si>
    <t>Итого</t>
  </si>
  <si>
    <t>Наименование показателя</t>
  </si>
  <si>
    <t>Р1</t>
  </si>
  <si>
    <t>Р2</t>
  </si>
  <si>
    <t>Р3</t>
  </si>
  <si>
    <t>Р4</t>
  </si>
  <si>
    <t>Р5</t>
  </si>
  <si>
    <t>Р6</t>
  </si>
  <si>
    <t>Р7</t>
  </si>
  <si>
    <t>Р9</t>
  </si>
  <si>
    <t>Р10</t>
  </si>
  <si>
    <t>Р13</t>
  </si>
  <si>
    <t>Р19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</si>
  <si>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</si>
  <si>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</si>
  <si>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</si>
  <si>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</si>
  <si>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</si>
  <si>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</si>
  <si>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</si>
  <si>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</si>
  <si>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</si>
  <si>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Среднее значение оценки, полученной всеми ГРБС</t>
  </si>
  <si>
    <t>Администрации Порецкого района</t>
  </si>
  <si>
    <t xml:space="preserve">Результаты оценки качества финансового менеджмента </t>
  </si>
  <si>
    <t>Финансовый отдел администрации порецкого района</t>
  </si>
  <si>
    <t>Приложение №2</t>
  </si>
  <si>
    <t>к Порядку оценки качества</t>
  </si>
  <si>
    <t>финансового менеджмента главных</t>
  </si>
  <si>
    <t>распорядителей средств бюджета</t>
  </si>
  <si>
    <t>Порецкого района</t>
  </si>
  <si>
    <t>Приложение № 1</t>
  </si>
  <si>
    <t xml:space="preserve">к Порядку оценки качества </t>
  </si>
  <si>
    <t xml:space="preserve"> распорядителей средств бюджета</t>
  </si>
  <si>
    <t xml:space="preserve">Доля долгосрочных целевых программ Порецкого района, утвержденный объем финансирования которых изменился в течение отчетного финансового года </t>
  </si>
  <si>
    <t xml:space="preserve"> Количество районных программ Порецкого района, по которым ГРБС является ответственным исполнителем (n)</t>
  </si>
  <si>
    <t>Удельный вес расходов на финансирование районной программы Порецкого района в общем объеме расходов на финансирование районных программ Порецкого района, утвержденных по состоянию на 1 января отчетного финансового года (V)</t>
  </si>
  <si>
    <t>(Р8)</t>
  </si>
  <si>
    <t>* В случае если программа была принята в течение года, учитываются первоначально утвержденные паспортом программы объемы финансирования</t>
  </si>
  <si>
    <t>Утвержденные* по состоянию на 1 января отчетного финансового года назначения по iй районной программе Порецкого района, ответственным исполнителем которой является ГРБС, без учета расходов, осуществляемых за счет субсидий, субвенций и иных межбюджетных трансфертов, предоставляемых из бюджетов бюджетной системы Российской Федерации (Е0i)</t>
  </si>
  <si>
    <t>Утвержденные* по состоянию на 31 декабря отчетного финансового года назначения по iй районной программе Порецкого района, ответственным исполнителем которой является ГРБС, без учета расходов, осуществляемых за счет субсидий, субвенций и иных межбюджетных трансфертов, предоставляемых из бюджетов бюджетной системы Российской Федерации (Е1i)</t>
  </si>
  <si>
    <t>(|гр.4/гр.3*100-100|)*гр.6)/100</t>
  </si>
  <si>
    <t>Эффективность управления дебиторской задолженностью по расчетам с дебиторами ГРБС, подведомственных ГРБС казенных учреждений Порецкого района по доходам в отчетном году по состоянию на 1 января текущего года</t>
  </si>
  <si>
    <t>(Р11)</t>
  </si>
  <si>
    <t>Эффективность управления дебиторской задолженностью по расчетам с дебиторами по доходам бюджетных и автономных учреждений Порецкого района, в отношении которых ГРБС осуществляет функции и полномочия учредителя, по состоянию на 1 января текущего года</t>
  </si>
  <si>
    <t>(Р12)</t>
  </si>
  <si>
    <t>Эффективность управления кредиторской задолженностью ГРБС и подведомственных ГРБС казенных учреждений Порецкого района</t>
  </si>
  <si>
    <t>Объем кредиторской задолженности ГРБС и  подведомственных ГРБС казенных учреждений Порецкого района в отчетном финансовом году по состоянию на 1 января текущего финансового года (К)</t>
  </si>
  <si>
    <t>Кассовое исполнение расходов ГРБС и подведомственных ГРБС казенных учреждений Порецкого района за отчетный финансовый год (Е)</t>
  </si>
  <si>
    <t>(Р14)</t>
  </si>
  <si>
    <t>Эффективность управления кредиторской задолженностью бюджетных и автономных учреждений Порецкого района, в отношении которых ГРБС осуществляет функции и полномочия учредителя</t>
  </si>
  <si>
    <t>Объем кредиторской задолженности бюджетных и автономных учреждений Порецкого района, в отношении которых ГРБС осуществляет функции и полномочия учредителя, в отчетном финансовом году по состоянию на 1 января текущего финансового года (К1)</t>
  </si>
  <si>
    <r>
      <t xml:space="preserve">Кассовое исполнение расходов по бюджетным и автономным учреждениям Порецкого района, в отношении которых ГРБС
 осуществляет функции и полномочия учредителя, за отчетный финансовый год </t>
    </r>
    <r>
      <rPr>
        <b/>
        <sz val="10"/>
        <rFont val="Calibri"/>
        <family val="2"/>
      </rPr>
      <t>(Е1)</t>
    </r>
    <r>
      <rPr>
        <sz val="10"/>
        <rFont val="Calibri"/>
        <family val="2"/>
      </rPr>
      <t xml:space="preserve">
</t>
    </r>
  </si>
  <si>
    <t>(Р15)</t>
  </si>
  <si>
    <t>Объем просроченной кредиторской задолженности ГРБС и подведомственных казенных учреждений Порецкого района по расчетам с кредиторами по состоянию на 1 число месяца, следующего за отчетным периодом (Ктп)</t>
  </si>
  <si>
    <t xml:space="preserve"> Кассовое исполнение расходов ГРБС и подведомственных казенных учреждений Порецкого района за отчетный финансовый год (Е)   </t>
  </si>
  <si>
    <t>(Р16)</t>
  </si>
  <si>
    <r>
      <t xml:space="preserve"> Кассовое исполнение расходов по бюджетным и автономным учреждениям Порецкого района, в отношении которых ГРБС осуществляет функции и полномочия учредителя, за отчетный финансовый год </t>
    </r>
    <r>
      <rPr>
        <b/>
        <sz val="10"/>
        <rFont val="Calibri"/>
        <family val="2"/>
      </rPr>
      <t>(Е1)</t>
    </r>
  </si>
  <si>
    <t>(Р17)</t>
  </si>
  <si>
    <t>Повышение энергетической эффективности</t>
  </si>
  <si>
    <r>
      <t xml:space="preserve">Вид источника энергии (вода, дизельное и иное топливо, мазут, природный газ, тепловая энергия, электрическая энергия, уголь) </t>
    </r>
    <r>
      <rPr>
        <b/>
        <sz val="10"/>
        <rFont val="Calibri"/>
        <family val="2"/>
      </rPr>
      <t>(i)</t>
    </r>
  </si>
  <si>
    <r>
      <t xml:space="preserve"> Количество источников энергии </t>
    </r>
    <r>
      <rPr>
        <b/>
        <sz val="10"/>
        <rFont val="Calibri"/>
        <family val="2"/>
      </rPr>
      <t>(n)</t>
    </r>
  </si>
  <si>
    <t>(Р18)</t>
  </si>
  <si>
    <t>5/7</t>
  </si>
  <si>
    <t>7/10</t>
  </si>
  <si>
    <t>Объем услуг (раздельно по каждому источнику энергии), потребленных  ГРБС, подведомственными ГРБС казенными учреждениями Порецкого района, бюджетными и автономными учреждениями Порецкого района, в отношении которых ГРБС осуществляет функции и полномочия учредителя, в отчетном финансовом году (V1)</t>
  </si>
  <si>
    <t>Объем просроченной кредиторской задолженности бюджетных и автономных учреждений Порецкого района, в отношении которых ГРБС осуществляет функции и полномочия учредителя, по расчетам с кредиторами по состоянию на 1 число месяца, следующего за отчетным периодом (Ктп1)</t>
  </si>
  <si>
    <t>Объем услуг (раздельно по каждому источнику энергии),  потребленных  ГРБС, подведомственными ГРБС казенными учреждениями Порецкого района, бюджетными и автономными учреждениями Порецкого района, в отношении которых ГРБС осуществляет функции и полномочия учредителя, в году, предшествующем отчетному (V0)</t>
  </si>
  <si>
    <t>1.1.</t>
  </si>
  <si>
    <t>1.2.</t>
  </si>
  <si>
    <t>1.3.</t>
  </si>
  <si>
    <t>3.1.</t>
  </si>
  <si>
    <t>3.2.</t>
  </si>
  <si>
    <t>3.3.</t>
  </si>
  <si>
    <t>2.1.</t>
  </si>
  <si>
    <t>2.2.</t>
  </si>
  <si>
    <t>2.3.</t>
  </si>
  <si>
    <t>Потребление газа</t>
  </si>
  <si>
    <t>Потребление электроэнергии</t>
  </si>
  <si>
    <t>ГСМ</t>
  </si>
  <si>
    <t>&lt;=97</t>
  </si>
  <si>
    <t>97/100</t>
  </si>
  <si>
    <t>&gt;100</t>
  </si>
  <si>
    <t>Р8</t>
  </si>
  <si>
    <t>Р11</t>
  </si>
  <si>
    <t>Р12</t>
  </si>
  <si>
    <t>Р14</t>
  </si>
  <si>
    <t>Р15</t>
  </si>
  <si>
    <t>Р16</t>
  </si>
  <si>
    <t>Р17</t>
  </si>
  <si>
    <t>Р18</t>
  </si>
  <si>
    <t xml:space="preserve">Наличие у ГРБС и подведомственных казенных учреждений Порецкого района просроченной кредиторской задолженности         </t>
  </si>
  <si>
    <t>Наличие у ГРБС и подведомственных казенных учреждений Порецкого района просроченной кредиторской задолженности</t>
  </si>
  <si>
    <t>Наличие у бюджетных и автономных учреждений Порецкого района, в отношении которых ГРБС осуществляет функции и полномочия учредителя, просроченной кредиторской задолженности</t>
  </si>
  <si>
    <t>0/2</t>
  </si>
  <si>
    <t>2/4</t>
  </si>
  <si>
    <t>4/6</t>
  </si>
  <si>
    <t>6/8</t>
  </si>
  <si>
    <t>8</t>
  </si>
  <si>
    <t>Х</t>
  </si>
  <si>
    <r>
      <t xml:space="preserve">Уточненные показатели кассового плана по </t>
    </r>
    <r>
      <rPr>
        <sz val="10"/>
        <color indexed="10"/>
        <rFont val="Calibri"/>
        <family val="2"/>
      </rPr>
      <t>доходам</t>
    </r>
    <r>
      <rPr>
        <sz val="10"/>
        <rFont val="Calibri"/>
        <family val="2"/>
      </rPr>
      <t xml:space="preserve"> бюджета Порецкого района на соответствующий период (I квартал, I полугодие, девять месяцев, год)* </t>
    </r>
    <r>
      <rPr>
        <b/>
        <sz val="10"/>
        <rFont val="Calibri"/>
        <family val="2"/>
      </rPr>
      <t>(Еп)</t>
    </r>
  </si>
  <si>
    <r>
      <t xml:space="preserve"> Фактическое исполнение кассового плана по </t>
    </r>
    <r>
      <rPr>
        <sz val="10"/>
        <color indexed="10"/>
        <rFont val="Calibri"/>
        <family val="2"/>
      </rPr>
      <t>доходам</t>
    </r>
    <r>
      <rPr>
        <sz val="10"/>
        <rFont val="Calibri"/>
        <family val="2"/>
      </rPr>
      <t xml:space="preserve"> бюджета Порецкого района за отчетный период (I квартал, I полугодие, девять месяцев, год)* </t>
    </r>
    <r>
      <rPr>
        <b/>
        <sz val="10"/>
        <rFont val="Calibri"/>
        <family val="2"/>
      </rPr>
      <t>(Еф)</t>
    </r>
  </si>
  <si>
    <r>
      <t xml:space="preserve">Объем дебиторской задолженности по расчетам с дебиторами по доходам по состоянию на 1 января текущего года (за исключением дебиторской задолженности, возникающей по договорам, срок исполнения обязательств по которым в соответствии с законодательством Российской Федерации превышает 1 год) </t>
    </r>
    <r>
      <rPr>
        <b/>
        <sz val="10"/>
        <rFont val="Calibri"/>
        <family val="2"/>
      </rPr>
      <t>(D)</t>
    </r>
  </si>
  <si>
    <r>
      <t xml:space="preserve">Поступление доходов, закрепленных за главным администратором доходов бюджета Порецкого района, в отчетном финансовом году </t>
    </r>
    <r>
      <rPr>
        <b/>
        <sz val="10"/>
        <rFont val="Calibri"/>
        <family val="2"/>
      </rPr>
      <t>(R)</t>
    </r>
  </si>
  <si>
    <r>
      <t xml:space="preserve">Объем дебиторской задолженности по расчетам с дебиторами по доходам бюджетных и автономных учреждений Порецкого района, в отношении которых ГРБС осуществляет функции и полномочия учредителя, по состоянию на 1 января текущего финансового года </t>
    </r>
    <r>
      <rPr>
        <b/>
        <sz val="10"/>
        <rFont val="Calibri"/>
        <family val="2"/>
      </rPr>
      <t>(D1)</t>
    </r>
  </si>
  <si>
    <r>
      <t xml:space="preserve">Поступление доходов по бюджетным и автономным учреждениям Порецкого района, в отношении которых ГРБС осуществляет функции и полномочия учредителя, в отчетном финансовом году </t>
    </r>
    <r>
      <rPr>
        <b/>
        <sz val="10"/>
        <rFont val="Calibri"/>
        <family val="2"/>
      </rPr>
      <t>(R1)</t>
    </r>
  </si>
  <si>
    <t>1.</t>
  </si>
  <si>
    <t>Районная целевая программа «Профилактика правонарушений в Порецком районе на 2009-2012 годы»</t>
  </si>
  <si>
    <t>Общегосударственные вопросы</t>
  </si>
  <si>
    <t>01</t>
  </si>
  <si>
    <t>Другие общегосударственные вопросы</t>
  </si>
  <si>
    <t>13</t>
  </si>
  <si>
    <t>Выполнение функций органами местного самоуправления</t>
  </si>
  <si>
    <t>500</t>
  </si>
  <si>
    <t xml:space="preserve">2. </t>
  </si>
  <si>
    <t xml:space="preserve">Муниципальная программа "Переселение граждан из ветхого и аварийного жилищного фонда Порецкого района" на 2011-2012 годы </t>
  </si>
  <si>
    <t>Жилищно-коммунальное хозяйство</t>
  </si>
  <si>
    <t>05</t>
  </si>
  <si>
    <t>Жилищное хозяйство</t>
  </si>
  <si>
    <t>Субсидии юридическим лицам</t>
  </si>
  <si>
    <t>006</t>
  </si>
  <si>
    <t>3.</t>
  </si>
  <si>
    <t>Районная целевая программа "Рациональное использование и охрана земель на территории Порецкого района на 2007-2012 годы"</t>
  </si>
  <si>
    <t>Национальная экономика</t>
  </si>
  <si>
    <t>04</t>
  </si>
  <si>
    <t>Другие вопросы в области национальной экономики</t>
  </si>
  <si>
    <t>12</t>
  </si>
  <si>
    <t>4.</t>
  </si>
  <si>
    <t>Муниципальная целевая программа "Развитие муниципальной службы в Порецком районе Чувашской Республики на 2011-2013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</si>
  <si>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</si>
  <si>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5.</t>
  </si>
  <si>
    <t>Районная целевая программа "Развитие образования в Порецком районе Чувашской Республики на 2011-2020 годы</t>
  </si>
  <si>
    <t>Образование</t>
  </si>
  <si>
    <t>07</t>
  </si>
  <si>
    <t>Другие вопросы в области образования</t>
  </si>
  <si>
    <t>09</t>
  </si>
  <si>
    <t>Выполнение функций казенными учреждениями</t>
  </si>
  <si>
    <t>001</t>
  </si>
  <si>
    <t>6.</t>
  </si>
  <si>
    <t>Районная целевая программа поддержки малого предпринима-тельства в Порецком районе на 2011-2015 годы</t>
  </si>
  <si>
    <t>7.</t>
  </si>
  <si>
    <t xml:space="preserve">Районная целевая программа "Комплексные меры противо-действия злоупотреблению наркотическими средствами и их незаконному обороту  в Порецком районе на 2010-2020 годы" </t>
  </si>
  <si>
    <t>8.</t>
  </si>
  <si>
    <t>Муниципальная программа "Развитие агропромышленного комплекса Порецкого района и регулирование рынков сельскохозяйственной продукции, сырья и продовольствия на 2008-2012 годы"</t>
  </si>
  <si>
    <t>Сельское хозяйство и рыболовство</t>
  </si>
  <si>
    <t>9.</t>
  </si>
  <si>
    <t xml:space="preserve">Районная целевая программа "Повышение безопасности дорожного движения в Порецком районе на 2009-2012 годы" </t>
  </si>
  <si>
    <t>10.</t>
  </si>
  <si>
    <t xml:space="preserve">Районная целевая программа "Обеспечение населения Порецкого района качественной питьевой водой на 2009-2020 годы" </t>
  </si>
  <si>
    <t>Коммунальное хозяйство</t>
  </si>
  <si>
    <t>02</t>
  </si>
  <si>
    <t>11.</t>
  </si>
  <si>
    <t xml:space="preserve">Районная целевая программа "Организация отдыха, оздоровления и занятости детей и подростков в Порецком районе на 2009-2012 годы" </t>
  </si>
  <si>
    <t>Молодежная политика и оздоровление детей</t>
  </si>
  <si>
    <t>Субсидии бюджетным учрежде-ниям на финансовое обеспечение муниципального задания на оказание муниципальных услуг (выполнение работ)</t>
  </si>
  <si>
    <t>611</t>
  </si>
  <si>
    <t>12.</t>
  </si>
  <si>
    <t xml:space="preserve">Районная целевая программа "Молодежь Порецкого района на 2011-2020 годы" </t>
  </si>
  <si>
    <t>первоначально</t>
  </si>
  <si>
    <t>в течении года</t>
  </si>
  <si>
    <t>Безопасный город</t>
  </si>
  <si>
    <t>Повышение экологической безопасности</t>
  </si>
  <si>
    <t>на конец года</t>
  </si>
  <si>
    <t>Соблюдение установленных сроков представления документов и материалов к формированию проектов бюджета</t>
  </si>
  <si>
    <t>Количество случаев внесения изменения в сводную бюджетную роспись за исключением: 1. уточнением параметров бюджета; 2. реорганизации (ликвидации) ГРБС казенных учреждений, изменением типа муниципальных учреждений; 3. особенностями исполнения бюджета, установленными решением Собрания депутатов</t>
  </si>
  <si>
    <t>объем выявленных контрольными органами нарушений в денежном выражении в отчетном финансовом году по ГРБС, подведомственным ГРБС ка-зенным учреждениям Порецкого района, бюджет-ным и автономным учреждениям Порецкого района, в отношении которых ГРБС осуществляет функции и полномочия учредителя</t>
  </si>
  <si>
    <t>Отдел образования, молодежной политики и спорта</t>
  </si>
  <si>
    <t>Максимальная оценка качества финансового менеджмента</t>
  </si>
  <si>
    <t>за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</si>
</sst>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53">
    <font>
      <sz val="10"/>
      <name val="Arial Cyr"/>
      <family val="0"/>
    </font>
    <font>
      <sz val="10"/>
      <name val="Calibri"/>
      <family val="2"/>
    </font>
    <font>
      <b/>
      <sz val="12"/>
      <name val="Calibri"/>
      <family val="2"/>
    </font>
    <font>
      <sz val="8"/>
      <name val="Arial Cyr"/>
      <family val="0"/>
    </font>
    <font>
      <b/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9" fontId="1" fillId="0" borderId="10" xfId="57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182" fontId="9" fillId="0" borderId="10" xfId="0" applyNumberFormat="1" applyFont="1" applyFill="1" applyBorder="1" applyAlignment="1">
      <alignment/>
    </xf>
    <xf numFmtId="182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7" fontId="1" fillId="0" borderId="0" xfId="0" applyNumberFormat="1" applyFont="1" applyAlignment="1">
      <alignment/>
    </xf>
    <xf numFmtId="16" fontId="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77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horizontal="right" vertical="top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49" fontId="15" fillId="0" borderId="12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vertical="center" wrapText="1"/>
    </xf>
    <xf numFmtId="182" fontId="14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/>
    </xf>
    <xf numFmtId="182" fontId="14" fillId="0" borderId="10" xfId="0" applyNumberFormat="1" applyFont="1" applyBorder="1" applyAlignment="1">
      <alignment/>
    </xf>
    <xf numFmtId="182" fontId="14" fillId="0" borderId="10" xfId="0" applyNumberFormat="1" applyFont="1" applyBorder="1" applyAlignment="1">
      <alignment horizontal="right" wrapText="1"/>
    </xf>
    <xf numFmtId="182" fontId="15" fillId="0" borderId="10" xfId="0" applyNumberFormat="1" applyFont="1" applyBorder="1" applyAlignment="1">
      <alignment horizontal="right" wrapText="1"/>
    </xf>
    <xf numFmtId="4" fontId="16" fillId="35" borderId="13" xfId="0" applyNumberFormat="1" applyFont="1" applyFill="1" applyBorder="1" applyAlignment="1">
      <alignment horizontal="right" vertical="top" shrinkToFit="1"/>
    </xf>
    <xf numFmtId="4" fontId="16" fillId="36" borderId="13" xfId="0" applyNumberFormat="1" applyFont="1" applyFill="1" applyBorder="1" applyAlignment="1">
      <alignment horizontal="right" vertical="top" shrinkToFit="1"/>
    </xf>
    <xf numFmtId="17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2" fontId="9" fillId="37" borderId="10" xfId="0" applyNumberFormat="1" applyFont="1" applyFill="1" applyBorder="1" applyAlignment="1">
      <alignment/>
    </xf>
    <xf numFmtId="182" fontId="9" fillId="37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95" zoomScaleSheetLayoutView="95" zoomScalePageLayoutView="0" workbookViewId="0" topLeftCell="A1">
      <selection activeCell="E7" sqref="E7"/>
    </sheetView>
  </sheetViews>
  <sheetFormatPr defaultColWidth="9.00390625" defaultRowHeight="12.75"/>
  <cols>
    <col min="1" max="1" width="4.625" style="1" customWidth="1"/>
    <col min="2" max="2" width="46.25390625" style="1" customWidth="1"/>
    <col min="3" max="3" width="22.875" style="1" customWidth="1"/>
    <col min="4" max="4" width="17.875" style="1" customWidth="1"/>
    <col min="5" max="5" width="17.75390625" style="1" bestFit="1" customWidth="1"/>
    <col min="6" max="6" width="9.125" style="1" customWidth="1"/>
    <col min="7" max="7" width="3.00390625" style="1" customWidth="1"/>
    <col min="8" max="8" width="3.375" style="1" customWidth="1"/>
    <col min="9" max="14" width="7.875" style="1" customWidth="1"/>
    <col min="15" max="16384" width="9.125" style="1" customWidth="1"/>
  </cols>
  <sheetData>
    <row r="1" spans="1:6" ht="36.75" customHeight="1">
      <c r="A1" s="80" t="s">
        <v>323</v>
      </c>
      <c r="B1" s="80"/>
      <c r="C1" s="80"/>
      <c r="D1" s="80"/>
      <c r="E1" s="80"/>
      <c r="F1" s="80"/>
    </row>
    <row r="4" spans="1:6" ht="60.75" customHeight="1">
      <c r="A4" s="78" t="s">
        <v>29</v>
      </c>
      <c r="B4" s="78" t="s">
        <v>30</v>
      </c>
      <c r="C4" s="78" t="s">
        <v>35</v>
      </c>
      <c r="D4" s="78" t="s">
        <v>139</v>
      </c>
      <c r="E4" s="4" t="s">
        <v>36</v>
      </c>
      <c r="F4" s="78" t="s">
        <v>34</v>
      </c>
    </row>
    <row r="5" spans="1:6" ht="12.75">
      <c r="A5" s="79"/>
      <c r="B5" s="79"/>
      <c r="C5" s="79"/>
      <c r="D5" s="79"/>
      <c r="E5" s="2" t="s">
        <v>31</v>
      </c>
      <c r="F5" s="79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 t="s">
        <v>86</v>
      </c>
      <c r="J6" s="1" t="s">
        <v>87</v>
      </c>
      <c r="K6" s="1" t="s">
        <v>88</v>
      </c>
      <c r="L6" s="1" t="s">
        <v>89</v>
      </c>
      <c r="M6" s="1" t="s">
        <v>90</v>
      </c>
      <c r="N6" s="1">
        <v>50</v>
      </c>
    </row>
    <row r="7" spans="1:14" ht="12.75">
      <c r="A7" s="2">
        <v>1</v>
      </c>
      <c r="B7" s="2" t="s">
        <v>32</v>
      </c>
      <c r="C7" s="2">
        <v>18</v>
      </c>
      <c r="D7" s="2">
        <v>0</v>
      </c>
      <c r="E7" s="22">
        <f>(C7-D7)/C7*100</f>
        <v>100</v>
      </c>
      <c r="F7" s="2">
        <f>HLOOKUP(TRUE,I7:N8,2,FALSE)</f>
        <v>5</v>
      </c>
      <c r="I7" s="2" t="b">
        <f>AND(E7&lt;=100,E7&gt;=90)</f>
        <v>1</v>
      </c>
      <c r="J7" s="2" t="b">
        <f>AND(E7&lt;90,E7&gt;=80)</f>
        <v>0</v>
      </c>
      <c r="K7" s="2" t="b">
        <f>AND(E7&lt;80,E7&gt;=70)</f>
        <v>0</v>
      </c>
      <c r="L7" s="2" t="b">
        <f>AND(E7&lt;70,E7&gt;=60)</f>
        <v>0</v>
      </c>
      <c r="M7" s="2" t="b">
        <f>AND(E7&lt;60,E7&gt;=50)</f>
        <v>0</v>
      </c>
      <c r="N7" s="2" t="b">
        <f>AND(E7&lt;50)</f>
        <v>0</v>
      </c>
    </row>
    <row r="8" spans="1:14" ht="12.75">
      <c r="A8" s="2">
        <v>2</v>
      </c>
      <c r="B8" s="2" t="s">
        <v>326</v>
      </c>
      <c r="C8" s="2">
        <v>18</v>
      </c>
      <c r="D8" s="2">
        <v>0</v>
      </c>
      <c r="E8" s="22">
        <f>(C8-D8)/C8*100</f>
        <v>100</v>
      </c>
      <c r="F8" s="2">
        <f>HLOOKUP(TRUE,I9:N10,2,FALSE)</f>
        <v>5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2">
        <v>18</v>
      </c>
      <c r="D9" s="2">
        <v>0</v>
      </c>
      <c r="E9" s="22">
        <f>(C9-D9)/C9*100</f>
        <v>100</v>
      </c>
      <c r="F9" s="2">
        <f>HLOOKUP(TRUE,I11:N12,2,FALSE)</f>
        <v>5</v>
      </c>
      <c r="I9" s="2" t="b">
        <f>AND(E8&lt;=100,E8&gt;=90)</f>
        <v>1</v>
      </c>
      <c r="J9" s="2" t="b">
        <f>AND(E8&lt;90,E8&gt;=80)</f>
        <v>0</v>
      </c>
      <c r="K9" s="2" t="b">
        <f>AND(E8&lt;80,E8&gt;=70)</f>
        <v>0</v>
      </c>
      <c r="L9" s="2" t="b">
        <f>AND(E8&lt;70,E8&gt;=60)</f>
        <v>0</v>
      </c>
      <c r="M9" s="2" t="b">
        <f>AND(E8&lt;60,E8&gt;=50)</f>
        <v>0</v>
      </c>
      <c r="N9" s="2" t="b">
        <f>AND(E8&lt;50)</f>
        <v>0</v>
      </c>
    </row>
    <row r="10" spans="1:14" ht="12.75">
      <c r="A10" s="2"/>
      <c r="B10" s="2"/>
      <c r="C10" s="2"/>
      <c r="D10" s="2"/>
      <c r="E10" s="2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b">
        <f>AND(E9&lt;=100,E9&gt;=90)</f>
        <v>1</v>
      </c>
      <c r="J11" s="2" t="b">
        <f>AND(E9&lt;90,E9&gt;=80)</f>
        <v>0</v>
      </c>
      <c r="K11" s="2" t="b">
        <f>AND(E9&lt;80,E9&gt;=70)</f>
        <v>0</v>
      </c>
      <c r="L11" s="2" t="b">
        <f>AND(E9&lt;70,E9&gt;=60)</f>
        <v>0</v>
      </c>
      <c r="M11" s="2" t="b">
        <f>AND(E9&lt;60,E9&gt;=50)</f>
        <v>0</v>
      </c>
      <c r="N11" s="2" t="b">
        <f>AND(E9&lt;50)</f>
        <v>0</v>
      </c>
    </row>
    <row r="12" spans="9:14" ht="12.75"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95" zoomScaleSheetLayoutView="95" zoomScalePageLayoutView="0" workbookViewId="0" topLeftCell="A1">
      <selection activeCell="C7" sqref="C7:C9"/>
    </sheetView>
  </sheetViews>
  <sheetFormatPr defaultColWidth="9.00390625" defaultRowHeight="12.75"/>
  <cols>
    <col min="1" max="1" width="4.625" style="1" customWidth="1"/>
    <col min="2" max="2" width="39.375" style="1" customWidth="1"/>
    <col min="3" max="3" width="24.75390625" style="1" customWidth="1"/>
    <col min="4" max="4" width="23.375" style="1" customWidth="1"/>
    <col min="5" max="5" width="22.00390625" style="1" customWidth="1"/>
    <col min="6" max="16384" width="9.125" style="1" customWidth="1"/>
  </cols>
  <sheetData>
    <row r="1" spans="1:6" ht="41.25" customHeight="1">
      <c r="A1" s="80" t="s">
        <v>66</v>
      </c>
      <c r="B1" s="80"/>
      <c r="C1" s="80"/>
      <c r="D1" s="80"/>
      <c r="E1" s="80"/>
      <c r="F1" s="80"/>
    </row>
    <row r="4" spans="1:6" ht="88.5" customHeight="1">
      <c r="A4" s="78" t="s">
        <v>29</v>
      </c>
      <c r="B4" s="78" t="s">
        <v>30</v>
      </c>
      <c r="C4" s="78" t="s">
        <v>260</v>
      </c>
      <c r="D4" s="78" t="s">
        <v>261</v>
      </c>
      <c r="E4" s="4" t="s">
        <v>60</v>
      </c>
      <c r="F4" s="78" t="s">
        <v>34</v>
      </c>
    </row>
    <row r="5" spans="1:6" ht="12.75">
      <c r="A5" s="79"/>
      <c r="B5" s="79"/>
      <c r="C5" s="79"/>
      <c r="D5" s="79"/>
      <c r="E5" s="6" t="s">
        <v>31</v>
      </c>
      <c r="F5" s="79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>
        <v>1.5</v>
      </c>
      <c r="J6" s="15" t="s">
        <v>119</v>
      </c>
      <c r="K6" s="15" t="s">
        <v>120</v>
      </c>
      <c r="L6" s="15" t="s">
        <v>121</v>
      </c>
      <c r="M6" s="15" t="s">
        <v>122</v>
      </c>
      <c r="N6" s="15" t="s">
        <v>123</v>
      </c>
    </row>
    <row r="7" spans="1:14" ht="12.75">
      <c r="A7" s="2">
        <v>1</v>
      </c>
      <c r="B7" s="2" t="s">
        <v>32</v>
      </c>
      <c r="C7" s="76">
        <v>84130372.42</v>
      </c>
      <c r="D7" s="23">
        <v>87772917.84</v>
      </c>
      <c r="E7" s="5">
        <f>(C7-D7)/C7*100</f>
        <v>-4.32964376030038</v>
      </c>
      <c r="F7" s="2">
        <f>HLOOKUP(TRUE,I7:N8,2,FALSE)</f>
        <v>5</v>
      </c>
      <c r="I7" s="16" t="b">
        <f>AND(E7&lt;=1.5)</f>
        <v>1</v>
      </c>
      <c r="J7" s="2" t="b">
        <f>AND(E7&lt;=3,E7&gt;1.5)</f>
        <v>0</v>
      </c>
      <c r="K7" s="2" t="b">
        <f>AND(E7&lt;=4.5,E7&gt;3)</f>
        <v>0</v>
      </c>
      <c r="L7" s="2" t="b">
        <f>AND(E7&lt;=6,E7&gt;4.5)</f>
        <v>0</v>
      </c>
      <c r="M7" s="2" t="b">
        <f>AND(E7&lt;=7.5,E7&gt;6)</f>
        <v>0</v>
      </c>
      <c r="N7" s="2" t="b">
        <f>AND(E7&gt;7.5)</f>
        <v>0</v>
      </c>
    </row>
    <row r="8" spans="1:14" ht="12.75">
      <c r="A8" s="2">
        <v>2</v>
      </c>
      <c r="B8" s="2" t="s">
        <v>326</v>
      </c>
      <c r="C8" s="76">
        <v>125199927.86</v>
      </c>
      <c r="D8" s="23">
        <v>121165853.78</v>
      </c>
      <c r="E8" s="5">
        <f>(C8-D8)/C8*100</f>
        <v>3.2221057543347356</v>
      </c>
      <c r="F8" s="2">
        <f>HLOOKUP(TRUE,I9:N10,2,FALSE)</f>
        <v>3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76">
        <v>245245023.17</v>
      </c>
      <c r="D9" s="23">
        <v>268385023.02</v>
      </c>
      <c r="E9" s="5">
        <f>(C9-D9)/C9*100</f>
        <v>-9.435461544090026</v>
      </c>
      <c r="F9" s="2">
        <f>HLOOKUP(TRUE,I11:N12,2,FALSE)</f>
        <v>5</v>
      </c>
      <c r="I9" s="16" t="b">
        <f>AND(E8&lt;=1.5)</f>
        <v>0</v>
      </c>
      <c r="J9" s="2" t="b">
        <f>AND(E8&lt;=3,E8&gt;1.5)</f>
        <v>0</v>
      </c>
      <c r="K9" s="2" t="b">
        <f>AND(E8&lt;=4.5,E8&gt;3)</f>
        <v>1</v>
      </c>
      <c r="L9" s="2" t="b">
        <f>AND(E8&lt;=6,E8&gt;4.5)</f>
        <v>0</v>
      </c>
      <c r="M9" s="2" t="b">
        <f>AND(E8&lt;=7.5,E8&gt;6)</f>
        <v>0</v>
      </c>
      <c r="N9" s="2" t="b">
        <f>AND(E8&gt;7.5)</f>
        <v>0</v>
      </c>
    </row>
    <row r="10" spans="1:14" ht="12.75">
      <c r="A10" s="2"/>
      <c r="B10" s="2"/>
      <c r="C10" s="23"/>
      <c r="D10" s="23"/>
      <c r="E10" s="2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16" t="b">
        <f>AND(E9&lt;=1.5)</f>
        <v>1</v>
      </c>
      <c r="J11" s="2" t="b">
        <f>AND(E9&lt;=3,E9&gt;1.5)</f>
        <v>0</v>
      </c>
      <c r="K11" s="2" t="b">
        <f>AND(E9&lt;=4.5,E9&gt;3)</f>
        <v>0</v>
      </c>
      <c r="L11" s="2" t="b">
        <f>AND(E9&lt;=6,E9&gt;4.5)</f>
        <v>0</v>
      </c>
      <c r="M11" s="2" t="b">
        <f>AND(E9&lt;=7.5,E9&gt;6)</f>
        <v>0</v>
      </c>
      <c r="N11" s="2" t="b">
        <f>AND(E9&gt;7.5)</f>
        <v>0</v>
      </c>
    </row>
    <row r="12" spans="9:14" ht="12.75"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  <row r="13" ht="15.75">
      <c r="B13" s="7" t="s">
        <v>81</v>
      </c>
    </row>
    <row r="21" spans="3:6" ht="12.75">
      <c r="C21" s="14"/>
      <c r="D21" s="25"/>
      <c r="E21" s="24"/>
      <c r="F21" s="14"/>
    </row>
    <row r="22" spans="3:6" ht="12.75">
      <c r="C22" s="14"/>
      <c r="D22" s="25"/>
      <c r="E22" s="24"/>
      <c r="F22" s="14"/>
    </row>
    <row r="23" spans="3:6" ht="12.75">
      <c r="C23" s="14"/>
      <c r="D23" s="26"/>
      <c r="E23" s="24"/>
      <c r="F23" s="14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F12"/>
  <sheetViews>
    <sheetView view="pageBreakPreview" zoomScaleSheetLayoutView="100" zoomScalePageLayoutView="0" workbookViewId="0" topLeftCell="A1">
      <selection activeCell="D7" sqref="D7:D9"/>
    </sheetView>
  </sheetViews>
  <sheetFormatPr defaultColWidth="9.00390625" defaultRowHeight="12.75"/>
  <cols>
    <col min="1" max="1" width="4.625" style="1" customWidth="1"/>
    <col min="2" max="2" width="43.375" style="1" customWidth="1"/>
    <col min="3" max="3" width="29.00390625" style="1" customWidth="1"/>
    <col min="4" max="4" width="23.375" style="1" customWidth="1"/>
    <col min="5" max="5" width="22.00390625" style="1" customWidth="1"/>
    <col min="6" max="16384" width="9.125" style="1" customWidth="1"/>
  </cols>
  <sheetData>
    <row r="1" spans="1:6" ht="52.5" customHeight="1">
      <c r="A1" s="80" t="s">
        <v>202</v>
      </c>
      <c r="B1" s="80"/>
      <c r="C1" s="80"/>
      <c r="D1" s="80"/>
      <c r="E1" s="80"/>
      <c r="F1" s="80"/>
    </row>
    <row r="4" spans="1:6" ht="138" customHeight="1">
      <c r="A4" s="78" t="s">
        <v>29</v>
      </c>
      <c r="B4" s="78" t="s">
        <v>30</v>
      </c>
      <c r="C4" s="78" t="s">
        <v>262</v>
      </c>
      <c r="D4" s="78" t="s">
        <v>263</v>
      </c>
      <c r="E4" s="4" t="s">
        <v>203</v>
      </c>
      <c r="F4" s="78" t="s">
        <v>34</v>
      </c>
    </row>
    <row r="5" spans="1:6" ht="14.25" customHeight="1">
      <c r="A5" s="79"/>
      <c r="B5" s="79"/>
      <c r="C5" s="79"/>
      <c r="D5" s="79"/>
      <c r="E5" s="6" t="s">
        <v>61</v>
      </c>
      <c r="F5" s="79"/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2">
        <v>1</v>
      </c>
      <c r="B7" s="2" t="s">
        <v>32</v>
      </c>
      <c r="C7" s="2">
        <v>0</v>
      </c>
      <c r="D7" s="76">
        <v>84130372.42</v>
      </c>
      <c r="E7" s="5">
        <f>C7/D7*100</f>
        <v>0</v>
      </c>
      <c r="F7" s="2" t="str">
        <f>IF(E7&gt;12,"негативное","норма")</f>
        <v>норма</v>
      </c>
    </row>
    <row r="8" spans="1:6" ht="12.75">
      <c r="A8" s="2">
        <v>2</v>
      </c>
      <c r="B8" s="2" t="s">
        <v>326</v>
      </c>
      <c r="C8" s="2">
        <v>0</v>
      </c>
      <c r="D8" s="76">
        <v>125199927.86</v>
      </c>
      <c r="E8" s="5">
        <f>C8/D8*100</f>
        <v>0</v>
      </c>
      <c r="F8" s="2" t="str">
        <f>IF(E8&gt;12,"негативное","норма")</f>
        <v>норма</v>
      </c>
    </row>
    <row r="9" spans="1:6" ht="12.75">
      <c r="A9" s="2">
        <v>3</v>
      </c>
      <c r="B9" s="2" t="s">
        <v>33</v>
      </c>
      <c r="C9" s="2">
        <v>0</v>
      </c>
      <c r="D9" s="76">
        <v>245245023.17</v>
      </c>
      <c r="E9" s="5">
        <f>C9/D9*100</f>
        <v>0</v>
      </c>
      <c r="F9" s="2" t="str">
        <f>IF(E9&gt;12,"негативное","норма")</f>
        <v>норма</v>
      </c>
    </row>
    <row r="10" spans="1:6" ht="12.75">
      <c r="A10" s="2"/>
      <c r="B10" s="2"/>
      <c r="C10" s="2"/>
      <c r="D10" s="2"/>
      <c r="E10" s="2"/>
      <c r="F10" s="2"/>
    </row>
    <row r="12" ht="15.75">
      <c r="B12" s="7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1" right="0.16" top="1" bottom="1" header="0.5" footer="0.5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G11"/>
  <sheetViews>
    <sheetView view="pageBreakPreview" zoomScaleSheetLayoutView="100" zoomScalePageLayoutView="0" workbookViewId="0" topLeftCell="A1">
      <selection activeCell="D7" sqref="D7:D8"/>
    </sheetView>
  </sheetViews>
  <sheetFormatPr defaultColWidth="9.00390625" defaultRowHeight="12.75"/>
  <cols>
    <col min="1" max="1" width="4.625" style="1" customWidth="1"/>
    <col min="2" max="2" width="43.25390625" style="1" customWidth="1"/>
    <col min="3" max="3" width="24.75390625" style="1" customWidth="1"/>
    <col min="4" max="4" width="23.375" style="1" customWidth="1"/>
    <col min="5" max="5" width="22.00390625" style="1" customWidth="1"/>
    <col min="6" max="6" width="10.375" style="1" bestFit="1" customWidth="1"/>
    <col min="7" max="16384" width="9.125" style="1" customWidth="1"/>
  </cols>
  <sheetData>
    <row r="1" spans="1:6" ht="52.5" customHeight="1">
      <c r="A1" s="80" t="s">
        <v>204</v>
      </c>
      <c r="B1" s="80"/>
      <c r="C1" s="80"/>
      <c r="D1" s="80"/>
      <c r="E1" s="80"/>
      <c r="F1" s="80"/>
    </row>
    <row r="4" spans="1:6" ht="145.5" customHeight="1">
      <c r="A4" s="78" t="s">
        <v>29</v>
      </c>
      <c r="B4" s="78" t="s">
        <v>30</v>
      </c>
      <c r="C4" s="78" t="s">
        <v>264</v>
      </c>
      <c r="D4" s="78" t="s">
        <v>265</v>
      </c>
      <c r="E4" s="4" t="s">
        <v>205</v>
      </c>
      <c r="F4" s="78" t="s">
        <v>34</v>
      </c>
    </row>
    <row r="5" spans="1:6" ht="18.75" customHeight="1">
      <c r="A5" s="79"/>
      <c r="B5" s="79"/>
      <c r="C5" s="79"/>
      <c r="D5" s="79"/>
      <c r="E5" s="6" t="s">
        <v>61</v>
      </c>
      <c r="F5" s="79"/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2">
        <v>1</v>
      </c>
      <c r="B7" s="2" t="s">
        <v>32</v>
      </c>
      <c r="C7" s="2">
        <v>0</v>
      </c>
      <c r="D7" s="23">
        <v>54437554.41</v>
      </c>
      <c r="E7" s="5">
        <f>C7/D7*100</f>
        <v>0</v>
      </c>
      <c r="F7" s="2" t="str">
        <f>IF(E7&gt;12,"негативное","норма")</f>
        <v>норма</v>
      </c>
    </row>
    <row r="8" spans="1:6" ht="12.75">
      <c r="A8" s="2">
        <v>2</v>
      </c>
      <c r="B8" s="2" t="s">
        <v>326</v>
      </c>
      <c r="C8" s="2">
        <v>0</v>
      </c>
      <c r="D8" s="23">
        <v>123597566.44</v>
      </c>
      <c r="E8" s="5">
        <f>C8/D8*100</f>
        <v>0</v>
      </c>
      <c r="F8" s="2" t="str">
        <f>IF(E8&gt;12,"негативное","норма")</f>
        <v>норма</v>
      </c>
    </row>
    <row r="9" spans="1:7" ht="12.75">
      <c r="A9" s="2">
        <v>3</v>
      </c>
      <c r="B9" s="2" t="s">
        <v>33</v>
      </c>
      <c r="C9" s="2">
        <v>0</v>
      </c>
      <c r="D9" s="2">
        <v>0</v>
      </c>
      <c r="E9" s="5" t="e">
        <f>C9/D9*100</f>
        <v>#DIV/0!</v>
      </c>
      <c r="F9" s="46" t="s">
        <v>259</v>
      </c>
      <c r="G9" s="1" t="s">
        <v>141</v>
      </c>
    </row>
    <row r="11" ht="15.75">
      <c r="B11" s="7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1" right="0.16" top="1" bottom="1" header="0.5" footer="0.5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95" zoomScaleSheetLayoutView="95" zoomScalePageLayoutView="0" workbookViewId="0" topLeftCell="A1">
      <selection activeCell="C7" sqref="C7:C9"/>
    </sheetView>
  </sheetViews>
  <sheetFormatPr defaultColWidth="9.00390625" defaultRowHeight="12.75"/>
  <cols>
    <col min="1" max="1" width="4.625" style="1" customWidth="1"/>
    <col min="2" max="2" width="39.25390625" style="1" customWidth="1"/>
    <col min="3" max="3" width="24.75390625" style="1" customWidth="1"/>
    <col min="4" max="4" width="26.75390625" style="1" customWidth="1"/>
    <col min="5" max="5" width="22.00390625" style="1" customWidth="1"/>
    <col min="6" max="16384" width="9.125" style="1" customWidth="1"/>
  </cols>
  <sheetData>
    <row r="1" spans="1:6" ht="52.5" customHeight="1">
      <c r="A1" s="80" t="s">
        <v>67</v>
      </c>
      <c r="B1" s="80"/>
      <c r="C1" s="80"/>
      <c r="D1" s="80"/>
      <c r="E1" s="80"/>
      <c r="F1" s="80"/>
    </row>
    <row r="4" spans="1:6" ht="117.75" customHeight="1">
      <c r="A4" s="81" t="s">
        <v>29</v>
      </c>
      <c r="B4" s="81" t="s">
        <v>30</v>
      </c>
      <c r="C4" s="81" t="s">
        <v>149</v>
      </c>
      <c r="D4" s="81" t="s">
        <v>71</v>
      </c>
      <c r="E4" s="4" t="s">
        <v>62</v>
      </c>
      <c r="F4" s="81" t="s">
        <v>34</v>
      </c>
    </row>
    <row r="5" spans="1:8" ht="12.75">
      <c r="A5" s="81"/>
      <c r="B5" s="81"/>
      <c r="C5" s="81"/>
      <c r="D5" s="81"/>
      <c r="E5" s="6" t="s">
        <v>82</v>
      </c>
      <c r="F5" s="81"/>
      <c r="H5" s="1" t="s">
        <v>57</v>
      </c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 t="s">
        <v>124</v>
      </c>
      <c r="J6" s="15" t="s">
        <v>102</v>
      </c>
      <c r="K6" s="15" t="s">
        <v>125</v>
      </c>
      <c r="L6" s="15" t="s">
        <v>108</v>
      </c>
      <c r="M6" s="15" t="s">
        <v>107</v>
      </c>
      <c r="N6" s="15" t="s">
        <v>126</v>
      </c>
    </row>
    <row r="7" spans="1:14" ht="12.75">
      <c r="A7" s="2">
        <v>1</v>
      </c>
      <c r="B7" s="2" t="s">
        <v>32</v>
      </c>
      <c r="C7" s="23">
        <v>121379604.93</v>
      </c>
      <c r="D7" s="23">
        <v>121813177.57</v>
      </c>
      <c r="E7" s="5">
        <f>(-(C7-D7))/D7*100</f>
        <v>0.35593246038658916</v>
      </c>
      <c r="F7" s="2">
        <f>HLOOKUP(TRUE,I7:N8,2,FALSE)</f>
        <v>5</v>
      </c>
      <c r="I7" s="2" t="b">
        <f>AND(E7&lt;=5,E7&gt;=0)</f>
        <v>1</v>
      </c>
      <c r="J7" s="2" t="b">
        <f>AND(E7&lt;10,E7&gt;=5)</f>
        <v>0</v>
      </c>
      <c r="K7" s="2" t="b">
        <f>AND(E7&lt;20,E7&gt;=10)</f>
        <v>0</v>
      </c>
      <c r="L7" s="2" t="b">
        <f>AND(E7&lt;30,E7&gt;=20)</f>
        <v>0</v>
      </c>
      <c r="M7" s="2" t="b">
        <f>AND(E7&lt;40,E7&gt;=30)</f>
        <v>0</v>
      </c>
      <c r="N7" s="2" t="b">
        <f>AND(E7&gt;40)</f>
        <v>0</v>
      </c>
    </row>
    <row r="8" spans="1:14" ht="12.75">
      <c r="A8" s="2">
        <v>2</v>
      </c>
      <c r="B8" s="2" t="s">
        <v>326</v>
      </c>
      <c r="C8" s="23">
        <v>157841477.8</v>
      </c>
      <c r="D8" s="23">
        <v>162005626.92</v>
      </c>
      <c r="E8" s="5">
        <f>(-(C8-D8))/D8*100</f>
        <v>2.5703731402220207</v>
      </c>
      <c r="F8" s="2">
        <f>HLOOKUP(TRUE,I9:N10,2,FALSE)</f>
        <v>5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23">
        <v>148566726.83</v>
      </c>
      <c r="D9" s="23">
        <v>175965018.96</v>
      </c>
      <c r="E9" s="5">
        <f>(-(C9-D9))/D9*100</f>
        <v>15.570306127849262</v>
      </c>
      <c r="F9" s="2">
        <f>HLOOKUP(TRUE,I11:N12,2,FALSE)</f>
        <v>3</v>
      </c>
      <c r="I9" s="2" t="b">
        <f>AND(E8&lt;=5,E8&gt;=0)</f>
        <v>1</v>
      </c>
      <c r="J9" s="2" t="b">
        <f>AND(E8&lt;10,E8&gt;=5)</f>
        <v>0</v>
      </c>
      <c r="K9" s="2" t="b">
        <f>AND(E8&lt;20,E8&gt;=10)</f>
        <v>0</v>
      </c>
      <c r="L9" s="2" t="b">
        <f>AND(E8&lt;30,E8&gt;=20)</f>
        <v>0</v>
      </c>
      <c r="M9" s="2" t="b">
        <f>AND(E8&lt;40,E8&gt;=30)</f>
        <v>0</v>
      </c>
      <c r="N9" s="2" t="b">
        <f>AND(E8&gt;40)</f>
        <v>0</v>
      </c>
    </row>
    <row r="10" spans="1:14" ht="12.75">
      <c r="A10" s="2"/>
      <c r="B10" s="2"/>
      <c r="C10" s="23"/>
      <c r="D10" s="23"/>
      <c r="E10" s="5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b">
        <f>AND(E9&lt;=5,E9&gt;=0)</f>
        <v>0</v>
      </c>
      <c r="J11" s="2" t="b">
        <f>AND(E9&lt;10,E9&gt;=5)</f>
        <v>0</v>
      </c>
      <c r="K11" s="2" t="b">
        <f>AND(E9&lt;20,E9&gt;=10)</f>
        <v>1</v>
      </c>
      <c r="L11" s="2" t="b">
        <f>AND(E9&lt;30,E9&gt;=20)</f>
        <v>0</v>
      </c>
      <c r="M11" s="2" t="b">
        <f>AND(E9&lt;40,E9&gt;=30)</f>
        <v>0</v>
      </c>
      <c r="N11" s="2" t="b">
        <f>AND(E9&gt;40)</f>
        <v>0</v>
      </c>
    </row>
    <row r="12" spans="9:14" ht="12.75"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  <row r="13" ht="15.75">
      <c r="B13" s="8"/>
    </row>
    <row r="14" ht="315">
      <c r="B14" s="9" t="s">
        <v>84</v>
      </c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N13"/>
  <sheetViews>
    <sheetView view="pageBreakPreview" zoomScaleSheetLayoutView="100" zoomScalePageLayoutView="0" workbookViewId="0" topLeftCell="A1">
      <selection activeCell="D7" sqref="D7:D9"/>
    </sheetView>
  </sheetViews>
  <sheetFormatPr defaultColWidth="9.00390625" defaultRowHeight="12.75"/>
  <cols>
    <col min="1" max="1" width="4.625" style="1" customWidth="1"/>
    <col min="2" max="2" width="38.125" style="1" bestFit="1" customWidth="1"/>
    <col min="3" max="3" width="24.75390625" style="1" customWidth="1"/>
    <col min="4" max="4" width="23.375" style="1" customWidth="1"/>
    <col min="5" max="5" width="22.00390625" style="1" customWidth="1"/>
    <col min="6" max="16384" width="9.125" style="1" customWidth="1"/>
  </cols>
  <sheetData>
    <row r="1" spans="1:6" ht="52.5" customHeight="1">
      <c r="A1" s="80" t="s">
        <v>206</v>
      </c>
      <c r="B1" s="80"/>
      <c r="C1" s="80"/>
      <c r="D1" s="80"/>
      <c r="E1" s="80"/>
      <c r="F1" s="80"/>
    </row>
    <row r="4" spans="1:6" ht="120" customHeight="1">
      <c r="A4" s="78" t="s">
        <v>29</v>
      </c>
      <c r="B4" s="78" t="s">
        <v>30</v>
      </c>
      <c r="C4" s="78" t="s">
        <v>207</v>
      </c>
      <c r="D4" s="78" t="s">
        <v>208</v>
      </c>
      <c r="E4" s="4" t="s">
        <v>209</v>
      </c>
      <c r="F4" s="78" t="s">
        <v>34</v>
      </c>
    </row>
    <row r="5" spans="1:6" ht="14.25" customHeight="1">
      <c r="A5" s="79"/>
      <c r="B5" s="79"/>
      <c r="C5" s="79"/>
      <c r="D5" s="79"/>
      <c r="E5" s="6" t="s">
        <v>61</v>
      </c>
      <c r="F5" s="79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 t="s">
        <v>99</v>
      </c>
      <c r="J6" s="15" t="s">
        <v>101</v>
      </c>
      <c r="K6" s="15" t="s">
        <v>223</v>
      </c>
      <c r="L6" s="15" t="s">
        <v>224</v>
      </c>
      <c r="M6" s="15" t="s">
        <v>133</v>
      </c>
      <c r="N6" s="15" t="s">
        <v>100</v>
      </c>
    </row>
    <row r="7" spans="1:14" ht="12.75">
      <c r="A7" s="2">
        <v>1</v>
      </c>
      <c r="B7" s="2" t="s">
        <v>32</v>
      </c>
      <c r="C7" s="2">
        <v>0</v>
      </c>
      <c r="D7" s="23">
        <v>121379604.93</v>
      </c>
      <c r="E7" s="5">
        <f>C7/D7*100</f>
        <v>0</v>
      </c>
      <c r="F7" s="2">
        <f>HLOOKUP(TRUE,I7:N8,2,FALSE)</f>
        <v>5</v>
      </c>
      <c r="I7" s="2" t="b">
        <f>AND(E7&lt;=3,E7&gt;=0)</f>
        <v>1</v>
      </c>
      <c r="J7" s="2" t="b">
        <f>AND(E7&lt;=5,E7&gt;3)</f>
        <v>0</v>
      </c>
      <c r="K7" s="2" t="b">
        <f>AND(E7&lt;=7,E7&gt;5)</f>
        <v>0</v>
      </c>
      <c r="L7" s="2" t="b">
        <f>AND(E7&lt;=10,E7&gt;7)</f>
        <v>0</v>
      </c>
      <c r="M7" s="2" t="b">
        <f>AND(E7&lt;=15,E7&gt;10)</f>
        <v>0</v>
      </c>
      <c r="N7" s="2" t="b">
        <f>AND(E7&gt;15)</f>
        <v>0</v>
      </c>
    </row>
    <row r="8" spans="1:14" ht="12.75">
      <c r="A8" s="2">
        <v>2</v>
      </c>
      <c r="B8" s="2" t="s">
        <v>326</v>
      </c>
      <c r="C8" s="2">
        <v>0</v>
      </c>
      <c r="D8" s="23">
        <v>157841477.8</v>
      </c>
      <c r="E8" s="5">
        <f>C8/D8*100</f>
        <v>0</v>
      </c>
      <c r="F8" s="2">
        <f>HLOOKUP(TRUE,I9:N10,2,FALSE)</f>
        <v>5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2">
        <v>0</v>
      </c>
      <c r="D9" s="23">
        <v>148566726.83</v>
      </c>
      <c r="E9" s="5">
        <f>C9/D9*100</f>
        <v>0</v>
      </c>
      <c r="F9" s="2">
        <f>HLOOKUP(TRUE,I11:N12,2,FALSE)</f>
        <v>5</v>
      </c>
      <c r="I9" s="2" t="b">
        <f>AND(E8&lt;=3,E8&gt;=0)</f>
        <v>1</v>
      </c>
      <c r="J9" s="2" t="b">
        <f>AND(E8&lt;=5,E8&gt;3)</f>
        <v>0</v>
      </c>
      <c r="K9" s="2" t="b">
        <f>AND(E8&lt;=7,E8&gt;5)</f>
        <v>0</v>
      </c>
      <c r="L9" s="2" t="b">
        <f>AND(E8&lt;=10,E8&gt;7)</f>
        <v>0</v>
      </c>
      <c r="M9" s="2" t="b">
        <f>AND(E8&lt;=15,E8&gt;10)</f>
        <v>0</v>
      </c>
      <c r="N9" s="2" t="b">
        <f>AND(E8&gt;15)</f>
        <v>0</v>
      </c>
    </row>
    <row r="10" spans="1:14" ht="12.75">
      <c r="A10" s="2"/>
      <c r="B10" s="2"/>
      <c r="C10" s="2"/>
      <c r="D10" s="23"/>
      <c r="E10" s="5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b">
        <f>AND(E9&lt;=3,E9&gt;=0)</f>
        <v>1</v>
      </c>
      <c r="J11" s="2" t="b">
        <f>AND(E9&lt;=5,E9&gt;3)</f>
        <v>0</v>
      </c>
      <c r="K11" s="2" t="b">
        <f>AND(E9&lt;=7,E9&gt;5)</f>
        <v>0</v>
      </c>
      <c r="L11" s="2" t="b">
        <f>AND(E9&lt;=10,E9&gt;7)</f>
        <v>0</v>
      </c>
      <c r="M11" s="2" t="b">
        <f>AND(E9&lt;=15,E9&gt;10)</f>
        <v>0</v>
      </c>
      <c r="N11" s="2" t="b">
        <f>AND(E9&gt;15)</f>
        <v>0</v>
      </c>
    </row>
    <row r="12" spans="2:14" ht="15.75">
      <c r="B12" s="8"/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  <row r="13" ht="15.75">
      <c r="B13" s="9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1" right="0.16" top="1" bottom="1" header="0.5" footer="0.5"/>
  <pageSetup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N13"/>
  <sheetViews>
    <sheetView view="pageBreakPreview" zoomScaleSheetLayoutView="100" zoomScalePageLayoutView="0" workbookViewId="0" topLeftCell="A1">
      <selection activeCell="D7" sqref="D7:D8"/>
    </sheetView>
  </sheetViews>
  <sheetFormatPr defaultColWidth="9.00390625" defaultRowHeight="12.75"/>
  <cols>
    <col min="1" max="1" width="4.625" style="1" customWidth="1"/>
    <col min="2" max="2" width="38.125" style="1" bestFit="1" customWidth="1"/>
    <col min="3" max="3" width="24.75390625" style="1" customWidth="1"/>
    <col min="4" max="4" width="23.375" style="1" customWidth="1"/>
    <col min="5" max="5" width="22.00390625" style="1" customWidth="1"/>
    <col min="6" max="16384" width="9.125" style="1" customWidth="1"/>
  </cols>
  <sheetData>
    <row r="1" spans="1:6" ht="52.5" customHeight="1">
      <c r="A1" s="80" t="s">
        <v>210</v>
      </c>
      <c r="B1" s="80"/>
      <c r="C1" s="80"/>
      <c r="D1" s="80"/>
      <c r="E1" s="80"/>
      <c r="F1" s="80"/>
    </row>
    <row r="4" spans="1:6" ht="145.5" customHeight="1">
      <c r="A4" s="78" t="s">
        <v>29</v>
      </c>
      <c r="B4" s="78" t="s">
        <v>30</v>
      </c>
      <c r="C4" s="78" t="s">
        <v>211</v>
      </c>
      <c r="D4" s="78" t="s">
        <v>212</v>
      </c>
      <c r="E4" s="4" t="s">
        <v>213</v>
      </c>
      <c r="F4" s="78" t="s">
        <v>34</v>
      </c>
    </row>
    <row r="5" spans="1:6" ht="18.75" customHeight="1">
      <c r="A5" s="79"/>
      <c r="B5" s="79"/>
      <c r="C5" s="79"/>
      <c r="D5" s="79"/>
      <c r="E5" s="6" t="s">
        <v>61</v>
      </c>
      <c r="F5" s="79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 t="s">
        <v>99</v>
      </c>
      <c r="J6" s="15" t="s">
        <v>101</v>
      </c>
      <c r="K6" s="15" t="s">
        <v>223</v>
      </c>
      <c r="L6" s="15" t="s">
        <v>224</v>
      </c>
      <c r="M6" s="15" t="s">
        <v>133</v>
      </c>
      <c r="N6" s="15" t="s">
        <v>100</v>
      </c>
    </row>
    <row r="7" spans="1:14" ht="12.75">
      <c r="A7" s="2">
        <v>1</v>
      </c>
      <c r="B7" s="2" t="s">
        <v>32</v>
      </c>
      <c r="C7" s="2">
        <v>0</v>
      </c>
      <c r="D7" s="23">
        <v>54437554.41</v>
      </c>
      <c r="E7" s="5">
        <f>C7/D7*100</f>
        <v>0</v>
      </c>
      <c r="F7" s="2">
        <f>HLOOKUP(TRUE,I7:N8,2,FALSE)</f>
        <v>5</v>
      </c>
      <c r="I7" s="2" t="b">
        <f>AND(E7&lt;=3,E7&gt;=0)</f>
        <v>1</v>
      </c>
      <c r="J7" s="2" t="b">
        <f>AND(E7&lt;=5,E7&gt;3)</f>
        <v>0</v>
      </c>
      <c r="K7" s="2" t="b">
        <f>AND(E7&lt;=7,E7&gt;5)</f>
        <v>0</v>
      </c>
      <c r="L7" s="2" t="b">
        <f>AND(E7&lt;=10,E7&gt;7)</f>
        <v>0</v>
      </c>
      <c r="M7" s="2" t="b">
        <f>AND(E7&lt;=15,E7&gt;10)</f>
        <v>0</v>
      </c>
      <c r="N7" s="2" t="b">
        <f>AND(E7&gt;15)</f>
        <v>0</v>
      </c>
    </row>
    <row r="8" spans="1:14" ht="12.75">
      <c r="A8" s="2">
        <v>2</v>
      </c>
      <c r="B8" s="2" t="s">
        <v>326</v>
      </c>
      <c r="C8" s="2">
        <v>0</v>
      </c>
      <c r="D8" s="23">
        <v>123597566.44</v>
      </c>
      <c r="E8" s="5">
        <f>C8/D8*100</f>
        <v>0</v>
      </c>
      <c r="F8" s="2">
        <f>HLOOKUP(TRUE,I9:N10,2,FALSE)</f>
        <v>5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2">
        <v>0</v>
      </c>
      <c r="D9" s="2">
        <v>0</v>
      </c>
      <c r="E9" s="5" t="e">
        <f>C9/D9*100</f>
        <v>#DIV/0!</v>
      </c>
      <c r="F9" s="46" t="s">
        <v>259</v>
      </c>
      <c r="G9" s="1" t="s">
        <v>141</v>
      </c>
      <c r="I9" s="2" t="b">
        <f>AND(E8&lt;=3,E8&gt;=0)</f>
        <v>1</v>
      </c>
      <c r="J9" s="2" t="b">
        <f>AND(E8&lt;=5,E8&gt;3)</f>
        <v>0</v>
      </c>
      <c r="K9" s="2" t="b">
        <f>AND(E8&lt;=7,E8&gt;5)</f>
        <v>0</v>
      </c>
      <c r="L9" s="2" t="b">
        <f>AND(E8&lt;=10,E8&gt;7)</f>
        <v>0</v>
      </c>
      <c r="M9" s="2" t="b">
        <f>AND(E8&lt;=15,E8&gt;10)</f>
        <v>0</v>
      </c>
      <c r="N9" s="2" t="b">
        <f>AND(E8&gt;15)</f>
        <v>0</v>
      </c>
    </row>
    <row r="10" spans="1:14" ht="12.75">
      <c r="A10" s="2"/>
      <c r="B10" s="2"/>
      <c r="C10" s="2"/>
      <c r="D10" s="2"/>
      <c r="E10" s="2"/>
      <c r="F10" s="46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e">
        <f>AND(E9&lt;=3,E9&gt;=0)</f>
        <v>#DIV/0!</v>
      </c>
      <c r="J11" s="2" t="e">
        <f>AND(E9&lt;=5,E9&gt;3)</f>
        <v>#DIV/0!</v>
      </c>
      <c r="K11" s="2" t="e">
        <f>AND(E9&lt;=7,E9&gt;5)</f>
        <v>#DIV/0!</v>
      </c>
      <c r="L11" s="2" t="e">
        <f>AND(E9&lt;=10,E9&gt;7)</f>
        <v>#DIV/0!</v>
      </c>
      <c r="M11" s="2" t="e">
        <f>AND(E9&lt;=15,E9&gt;10)</f>
        <v>#DIV/0!</v>
      </c>
      <c r="N11" s="2" t="e">
        <f>AND(E9&gt;15)</f>
        <v>#DIV/0!</v>
      </c>
    </row>
    <row r="12" spans="2:14" ht="15.75">
      <c r="B12" s="8"/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  <row r="13" ht="15.75">
      <c r="B13" s="9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1" right="0.16" top="1" bottom="1" header="0.5" footer="0.5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J13"/>
  <sheetViews>
    <sheetView view="pageBreakPreview" zoomScaleSheetLayoutView="100" zoomScalePageLayoutView="0" workbookViewId="0" topLeftCell="A1">
      <selection activeCell="D7" sqref="D7:D9"/>
    </sheetView>
  </sheetViews>
  <sheetFormatPr defaultColWidth="9.00390625" defaultRowHeight="12.75"/>
  <cols>
    <col min="1" max="1" width="4.625" style="1" customWidth="1"/>
    <col min="2" max="2" width="38.125" style="1" bestFit="1" customWidth="1"/>
    <col min="3" max="3" width="24.75390625" style="1" customWidth="1"/>
    <col min="4" max="4" width="23.375" style="1" customWidth="1"/>
    <col min="5" max="5" width="22.00390625" style="1" customWidth="1"/>
    <col min="6" max="16384" width="9.125" style="1" customWidth="1"/>
  </cols>
  <sheetData>
    <row r="1" spans="1:6" ht="52.5" customHeight="1">
      <c r="A1" s="80" t="s">
        <v>251</v>
      </c>
      <c r="B1" s="80"/>
      <c r="C1" s="80"/>
      <c r="D1" s="80"/>
      <c r="E1" s="80"/>
      <c r="F1" s="80"/>
    </row>
    <row r="4" spans="1:6" ht="145.5" customHeight="1">
      <c r="A4" s="78" t="s">
        <v>29</v>
      </c>
      <c r="B4" s="78" t="s">
        <v>30</v>
      </c>
      <c r="C4" s="78" t="s">
        <v>214</v>
      </c>
      <c r="D4" s="78" t="s">
        <v>215</v>
      </c>
      <c r="E4" s="4" t="s">
        <v>216</v>
      </c>
      <c r="F4" s="78" t="s">
        <v>34</v>
      </c>
    </row>
    <row r="5" spans="1:6" ht="18.75" customHeight="1">
      <c r="A5" s="79"/>
      <c r="B5" s="79"/>
      <c r="C5" s="79"/>
      <c r="D5" s="79"/>
      <c r="E5" s="6" t="s">
        <v>61</v>
      </c>
      <c r="F5" s="79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>
        <v>0</v>
      </c>
      <c r="J6" s="15" t="s">
        <v>138</v>
      </c>
    </row>
    <row r="7" spans="1:10" ht="12.75">
      <c r="A7" s="2">
        <v>1</v>
      </c>
      <c r="B7" s="2" t="s">
        <v>32</v>
      </c>
      <c r="C7" s="2">
        <v>0</v>
      </c>
      <c r="D7" s="23">
        <v>121379604.93</v>
      </c>
      <c r="E7" s="5">
        <f>C7/D7*100</f>
        <v>0</v>
      </c>
      <c r="F7" s="2">
        <f>HLOOKUP(TRUE,I7:J8,2,FALSE)</f>
        <v>5</v>
      </c>
      <c r="I7" s="2" t="b">
        <f>AND(E7=0)</f>
        <v>1</v>
      </c>
      <c r="J7" s="2" t="b">
        <f>AND(E7&gt;0)</f>
        <v>0</v>
      </c>
    </row>
    <row r="8" spans="1:10" ht="12.75">
      <c r="A8" s="2">
        <v>2</v>
      </c>
      <c r="B8" s="2" t="s">
        <v>326</v>
      </c>
      <c r="C8" s="2">
        <v>0</v>
      </c>
      <c r="D8" s="23">
        <v>157841477.8</v>
      </c>
      <c r="E8" s="5">
        <f>C8/D8*100</f>
        <v>0</v>
      </c>
      <c r="F8" s="2">
        <f>HLOOKUP(TRUE,I9:J10,2,FALSE)</f>
        <v>5</v>
      </c>
      <c r="I8" s="2">
        <v>5</v>
      </c>
      <c r="J8" s="2">
        <v>0</v>
      </c>
    </row>
    <row r="9" spans="1:10" ht="12.75">
      <c r="A9" s="2">
        <v>3</v>
      </c>
      <c r="B9" s="2" t="s">
        <v>33</v>
      </c>
      <c r="C9" s="2">
        <v>0</v>
      </c>
      <c r="D9" s="23">
        <v>148566726.83</v>
      </c>
      <c r="E9" s="5">
        <f>C9/D9*100</f>
        <v>0</v>
      </c>
      <c r="F9" s="2">
        <f>HLOOKUP(TRUE,I11:J12,2,FALSE)</f>
        <v>5</v>
      </c>
      <c r="I9" s="2" t="b">
        <f>AND(E8=0)</f>
        <v>1</v>
      </c>
      <c r="J9" s="2" t="b">
        <f>AND(E8&lt;=5,E8&gt;0)</f>
        <v>0</v>
      </c>
    </row>
    <row r="10" spans="1:10" ht="12.75">
      <c r="A10" s="2"/>
      <c r="B10" s="2"/>
      <c r="C10" s="2"/>
      <c r="D10" s="23"/>
      <c r="E10" s="5"/>
      <c r="F10" s="2"/>
      <c r="I10" s="2">
        <v>5</v>
      </c>
      <c r="J10" s="2">
        <v>0</v>
      </c>
    </row>
    <row r="11" spans="9:10" ht="12.75">
      <c r="I11" s="2" t="b">
        <f>AND(E9=0)</f>
        <v>1</v>
      </c>
      <c r="J11" s="2" t="b">
        <f>AND(E9&gt;0)</f>
        <v>0</v>
      </c>
    </row>
    <row r="12" spans="2:10" ht="15.75">
      <c r="B12" s="8"/>
      <c r="I12" s="2">
        <v>5</v>
      </c>
      <c r="J12" s="2">
        <v>0</v>
      </c>
    </row>
    <row r="13" ht="15.75">
      <c r="B13" s="9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1" right="0.16" top="1" bottom="1" header="0.5" footer="0.5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</sheetPr>
  <dimension ref="A1:J13"/>
  <sheetViews>
    <sheetView view="pageBreakPreview" zoomScale="85" zoomScaleSheetLayoutView="85" zoomScalePageLayoutView="0" workbookViewId="0" topLeftCell="A1">
      <selection activeCell="D7" sqref="D7:D8"/>
    </sheetView>
  </sheetViews>
  <sheetFormatPr defaultColWidth="9.00390625" defaultRowHeight="12.75"/>
  <cols>
    <col min="1" max="1" width="4.625" style="1" customWidth="1"/>
    <col min="2" max="2" width="38.125" style="1" bestFit="1" customWidth="1"/>
    <col min="3" max="3" width="24.75390625" style="1" customWidth="1"/>
    <col min="4" max="4" width="23.375" style="1" customWidth="1"/>
    <col min="5" max="5" width="22.00390625" style="1" customWidth="1"/>
    <col min="6" max="16384" width="9.125" style="1" customWidth="1"/>
  </cols>
  <sheetData>
    <row r="1" spans="1:6" ht="52.5" customHeight="1">
      <c r="A1" s="80" t="s">
        <v>253</v>
      </c>
      <c r="B1" s="80"/>
      <c r="C1" s="80"/>
      <c r="D1" s="80"/>
      <c r="E1" s="80"/>
      <c r="F1" s="80"/>
    </row>
    <row r="4" spans="1:6" ht="145.5" customHeight="1">
      <c r="A4" s="78" t="s">
        <v>29</v>
      </c>
      <c r="B4" s="78" t="s">
        <v>30</v>
      </c>
      <c r="C4" s="78" t="s">
        <v>226</v>
      </c>
      <c r="D4" s="78" t="s">
        <v>217</v>
      </c>
      <c r="E4" s="4" t="s">
        <v>218</v>
      </c>
      <c r="F4" s="78" t="s">
        <v>34</v>
      </c>
    </row>
    <row r="5" spans="1:6" ht="18.75" customHeight="1">
      <c r="A5" s="79"/>
      <c r="B5" s="79"/>
      <c r="C5" s="79"/>
      <c r="D5" s="79"/>
      <c r="E5" s="6" t="s">
        <v>61</v>
      </c>
      <c r="F5" s="79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>
        <v>0</v>
      </c>
      <c r="J6" s="15" t="s">
        <v>138</v>
      </c>
    </row>
    <row r="7" spans="1:10" ht="12.75">
      <c r="A7" s="2">
        <v>1</v>
      </c>
      <c r="B7" s="2" t="s">
        <v>32</v>
      </c>
      <c r="C7" s="2">
        <v>0</v>
      </c>
      <c r="D7" s="23">
        <v>54437554.41</v>
      </c>
      <c r="E7" s="5">
        <f>C7/D7*100</f>
        <v>0</v>
      </c>
      <c r="F7" s="2">
        <f>HLOOKUP(TRUE,I7:J8,2,FALSE)</f>
        <v>5</v>
      </c>
      <c r="I7" s="2" t="b">
        <f>AND(E7=0)</f>
        <v>1</v>
      </c>
      <c r="J7" s="2" t="b">
        <f>AND(E7&gt;0)</f>
        <v>0</v>
      </c>
    </row>
    <row r="8" spans="1:10" ht="12.75">
      <c r="A8" s="2">
        <v>2</v>
      </c>
      <c r="B8" s="2" t="s">
        <v>326</v>
      </c>
      <c r="C8" s="2">
        <v>0</v>
      </c>
      <c r="D8" s="23">
        <v>123597566.44</v>
      </c>
      <c r="E8" s="5">
        <f>C8/D8*100</f>
        <v>0</v>
      </c>
      <c r="F8" s="2">
        <f>HLOOKUP(TRUE,I9:J10,2,FALSE)</f>
        <v>5</v>
      </c>
      <c r="I8" s="2">
        <v>5</v>
      </c>
      <c r="J8" s="2">
        <v>0</v>
      </c>
    </row>
    <row r="9" spans="1:10" ht="12.75">
      <c r="A9" s="2">
        <v>3</v>
      </c>
      <c r="B9" s="2" t="s">
        <v>33</v>
      </c>
      <c r="C9" s="2">
        <v>0</v>
      </c>
      <c r="D9" s="2">
        <v>0</v>
      </c>
      <c r="E9" s="5" t="e">
        <f>C9/D9*100</f>
        <v>#DIV/0!</v>
      </c>
      <c r="F9" s="46" t="s">
        <v>259</v>
      </c>
      <c r="G9" s="1" t="s">
        <v>141</v>
      </c>
      <c r="I9" s="2" t="b">
        <f>AND(E8=0)</f>
        <v>1</v>
      </c>
      <c r="J9" s="2" t="b">
        <f>AND(E8&lt;=5,E8&gt;0)</f>
        <v>0</v>
      </c>
    </row>
    <row r="10" spans="1:10" ht="12.75">
      <c r="A10" s="2"/>
      <c r="B10" s="2"/>
      <c r="C10" s="2"/>
      <c r="D10" s="2"/>
      <c r="E10" s="2"/>
      <c r="F10" s="46"/>
      <c r="I10" s="2">
        <v>5</v>
      </c>
      <c r="J10" s="2">
        <v>0</v>
      </c>
    </row>
    <row r="11" spans="9:10" ht="12.75">
      <c r="I11" s="2" t="e">
        <f>AND(E9=0)</f>
        <v>#DIV/0!</v>
      </c>
      <c r="J11" s="2" t="e">
        <f>AND(E9&gt;0)</f>
        <v>#DIV/0!</v>
      </c>
    </row>
    <row r="12" spans="2:10" ht="15.75">
      <c r="B12" s="8"/>
      <c r="I12" s="2">
        <v>5</v>
      </c>
      <c r="J12" s="2">
        <v>0</v>
      </c>
    </row>
    <row r="13" ht="15.75">
      <c r="B13" s="9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1" right="0.16" top="1" bottom="1" header="0.5" footer="0.5"/>
  <pageSetup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L18"/>
  <sheetViews>
    <sheetView view="pageBreakPreview" zoomScaleSheetLayoutView="100" zoomScalePageLayoutView="0" workbookViewId="0" topLeftCell="A4">
      <selection activeCell="F13" sqref="F13"/>
    </sheetView>
  </sheetViews>
  <sheetFormatPr defaultColWidth="9.00390625" defaultRowHeight="12.75"/>
  <cols>
    <col min="1" max="1" width="4.625" style="1" customWidth="1"/>
    <col min="2" max="2" width="43.625" style="1" customWidth="1"/>
    <col min="3" max="3" width="24.75390625" style="1" customWidth="1"/>
    <col min="4" max="4" width="25.125" style="1" customWidth="1"/>
    <col min="5" max="5" width="27.625" style="1" bestFit="1" customWidth="1"/>
    <col min="6" max="6" width="13.75390625" style="1" customWidth="1"/>
    <col min="7" max="7" width="9.625" style="1" customWidth="1"/>
    <col min="8" max="16384" width="9.125" style="1" customWidth="1"/>
  </cols>
  <sheetData>
    <row r="1" spans="1:8" ht="31.5" customHeight="1">
      <c r="A1" s="80" t="s">
        <v>219</v>
      </c>
      <c r="B1" s="80"/>
      <c r="C1" s="80"/>
      <c r="D1" s="80"/>
      <c r="E1" s="80"/>
      <c r="F1" s="80"/>
      <c r="G1" s="80"/>
      <c r="H1" s="80"/>
    </row>
    <row r="4" spans="1:8" ht="163.5" customHeight="1">
      <c r="A4" s="78" t="s">
        <v>29</v>
      </c>
      <c r="B4" s="78" t="s">
        <v>30</v>
      </c>
      <c r="C4" s="78" t="s">
        <v>225</v>
      </c>
      <c r="D4" s="78" t="s">
        <v>227</v>
      </c>
      <c r="E4" s="78" t="s">
        <v>220</v>
      </c>
      <c r="F4" s="78" t="s">
        <v>221</v>
      </c>
      <c r="G4" s="4" t="s">
        <v>222</v>
      </c>
      <c r="H4" s="78" t="s">
        <v>34</v>
      </c>
    </row>
    <row r="5" spans="1:8" ht="9" customHeight="1">
      <c r="A5" s="79"/>
      <c r="B5" s="79"/>
      <c r="C5" s="79"/>
      <c r="D5" s="79"/>
      <c r="E5" s="79"/>
      <c r="F5" s="79"/>
      <c r="G5" s="6"/>
      <c r="H5" s="79"/>
    </row>
    <row r="6" spans="1:12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J6" s="1" t="s">
        <v>240</v>
      </c>
      <c r="K6" s="1" t="s">
        <v>241</v>
      </c>
      <c r="L6" s="1" t="s">
        <v>242</v>
      </c>
    </row>
    <row r="7" spans="1:12" s="44" customFormat="1" ht="12.75">
      <c r="A7" s="42">
        <v>1</v>
      </c>
      <c r="B7" s="42" t="s">
        <v>32</v>
      </c>
      <c r="C7" s="42">
        <f>C8+C9+C10</f>
        <v>1099281.3399999999</v>
      </c>
      <c r="D7" s="42">
        <f>D8+D9+D10</f>
        <v>1146460.6800000002</v>
      </c>
      <c r="E7" s="42"/>
      <c r="F7" s="42">
        <f>F8+F9+F10</f>
        <v>3</v>
      </c>
      <c r="G7" s="43">
        <f aca="true" t="shared" si="0" ref="G7:G18">C7/D7*100</f>
        <v>95.88478341882599</v>
      </c>
      <c r="H7" s="42">
        <f>HLOOKUP(TRUE,J7:L8,2,FALSE)</f>
        <v>5</v>
      </c>
      <c r="J7" s="2" t="b">
        <f>AND(G7&lt;=97)</f>
        <v>1</v>
      </c>
      <c r="K7" s="2" t="b">
        <f>AND(G7&lt;=100,G7&gt;97)</f>
        <v>0</v>
      </c>
      <c r="L7" s="2" t="b">
        <f>AND(G7&gt;100)</f>
        <v>0</v>
      </c>
    </row>
    <row r="8" spans="1:12" ht="12.75">
      <c r="A8" s="2" t="s">
        <v>228</v>
      </c>
      <c r="B8" s="2" t="s">
        <v>237</v>
      </c>
      <c r="C8" s="2">
        <v>629281.34</v>
      </c>
      <c r="D8" s="2">
        <v>696460.68</v>
      </c>
      <c r="E8" s="2" t="s">
        <v>237</v>
      </c>
      <c r="F8" s="2">
        <v>1</v>
      </c>
      <c r="G8" s="5">
        <f>C8/D8*100</f>
        <v>90.35418051166936</v>
      </c>
      <c r="H8" s="2"/>
      <c r="J8" s="2">
        <v>5</v>
      </c>
      <c r="K8" s="2">
        <v>3</v>
      </c>
      <c r="L8" s="2">
        <v>0</v>
      </c>
    </row>
    <row r="9" spans="1:12" ht="12.75">
      <c r="A9" s="2" t="s">
        <v>229</v>
      </c>
      <c r="B9" s="2" t="s">
        <v>238</v>
      </c>
      <c r="C9" s="2">
        <v>470000</v>
      </c>
      <c r="D9" s="2">
        <v>450000</v>
      </c>
      <c r="E9" s="2" t="s">
        <v>238</v>
      </c>
      <c r="F9" s="2">
        <v>1</v>
      </c>
      <c r="G9" s="5">
        <f t="shared" si="0"/>
        <v>104.44444444444446</v>
      </c>
      <c r="H9" s="2"/>
      <c r="J9" s="2" t="b">
        <f>AND(G11&lt;=97)</f>
        <v>0</v>
      </c>
      <c r="K9" s="2" t="b">
        <f>AND(G11&lt;=100,G11&gt;97)</f>
        <v>1</v>
      </c>
      <c r="L9" s="2" t="b">
        <f>AND(G11&gt;100)</f>
        <v>0</v>
      </c>
    </row>
    <row r="10" spans="1:12" ht="12.75">
      <c r="A10" s="2" t="s">
        <v>230</v>
      </c>
      <c r="B10" s="2" t="s">
        <v>239</v>
      </c>
      <c r="C10" s="5">
        <v>0</v>
      </c>
      <c r="D10" s="5">
        <v>0</v>
      </c>
      <c r="E10" s="2" t="s">
        <v>239</v>
      </c>
      <c r="F10" s="2">
        <v>1</v>
      </c>
      <c r="G10" s="5" t="e">
        <f t="shared" si="0"/>
        <v>#DIV/0!</v>
      </c>
      <c r="H10" s="2"/>
      <c r="J10" s="2">
        <v>5</v>
      </c>
      <c r="K10" s="2">
        <v>3</v>
      </c>
      <c r="L10" s="2">
        <v>0</v>
      </c>
    </row>
    <row r="11" spans="1:12" s="44" customFormat="1" ht="12.75">
      <c r="A11" s="42">
        <v>2</v>
      </c>
      <c r="B11" s="77" t="s">
        <v>326</v>
      </c>
      <c r="C11" s="42">
        <f>C12+C13+C14</f>
        <v>11068527.68</v>
      </c>
      <c r="D11" s="42">
        <f>D12+D13+D14</f>
        <v>11386269.95</v>
      </c>
      <c r="E11" s="42"/>
      <c r="F11" s="42">
        <f>F12+F13+F14</f>
        <v>3</v>
      </c>
      <c r="G11" s="43">
        <f t="shared" si="0"/>
        <v>97.20942616506295</v>
      </c>
      <c r="H11" s="42">
        <f>HLOOKUP(TRUE,J9:L10,2,FALSE)</f>
        <v>3</v>
      </c>
      <c r="J11" s="2" t="e">
        <f>AND(G15&lt;=97)</f>
        <v>#DIV/0!</v>
      </c>
      <c r="K11" s="2" t="e">
        <f>AND(G15&lt;=100,G15&gt;97)</f>
        <v>#DIV/0!</v>
      </c>
      <c r="L11" s="2" t="e">
        <f>AND(G15&gt;100)</f>
        <v>#DIV/0!</v>
      </c>
    </row>
    <row r="12" spans="1:12" ht="12.75">
      <c r="A12" s="2" t="s">
        <v>234</v>
      </c>
      <c r="B12" s="2" t="s">
        <v>237</v>
      </c>
      <c r="C12" s="2">
        <v>5190860.33</v>
      </c>
      <c r="D12" s="2">
        <v>5530250.85</v>
      </c>
      <c r="E12" s="2" t="s">
        <v>237</v>
      </c>
      <c r="F12" s="2">
        <v>1</v>
      </c>
      <c r="G12" s="5">
        <f t="shared" si="0"/>
        <v>93.8630176242367</v>
      </c>
      <c r="H12" s="2"/>
      <c r="J12" s="2">
        <v>5</v>
      </c>
      <c r="K12" s="2">
        <v>3</v>
      </c>
      <c r="L12" s="2">
        <v>0</v>
      </c>
    </row>
    <row r="13" spans="1:8" ht="12.75">
      <c r="A13" s="2" t="s">
        <v>235</v>
      </c>
      <c r="B13" s="2" t="s">
        <v>238</v>
      </c>
      <c r="C13" s="2">
        <v>3740769.66</v>
      </c>
      <c r="D13" s="2">
        <v>3841769.66</v>
      </c>
      <c r="E13" s="2" t="s">
        <v>238</v>
      </c>
      <c r="F13" s="2">
        <v>1</v>
      </c>
      <c r="G13" s="5">
        <f t="shared" si="0"/>
        <v>97.37100323708631</v>
      </c>
      <c r="H13" s="2"/>
    </row>
    <row r="14" spans="1:8" ht="12.75">
      <c r="A14" s="41" t="s">
        <v>236</v>
      </c>
      <c r="B14" s="2" t="s">
        <v>239</v>
      </c>
      <c r="C14" s="2">
        <v>2136897.69</v>
      </c>
      <c r="D14" s="2">
        <v>2014249.44</v>
      </c>
      <c r="E14" s="2" t="s">
        <v>239</v>
      </c>
      <c r="F14" s="2">
        <v>1</v>
      </c>
      <c r="G14" s="5">
        <f t="shared" si="0"/>
        <v>106.08902986712509</v>
      </c>
      <c r="H14" s="2"/>
    </row>
    <row r="15" spans="1:9" s="44" customFormat="1" ht="12.75">
      <c r="A15" s="42">
        <v>3</v>
      </c>
      <c r="B15" s="42" t="s">
        <v>33</v>
      </c>
      <c r="C15" s="42">
        <f>C16+C17+C18</f>
        <v>0</v>
      </c>
      <c r="D15" s="42">
        <f>D16+D17+D18</f>
        <v>0</v>
      </c>
      <c r="E15" s="42"/>
      <c r="F15" s="42">
        <f>F16+F17+F18</f>
        <v>3</v>
      </c>
      <c r="G15" s="43" t="e">
        <f t="shared" si="0"/>
        <v>#DIV/0!</v>
      </c>
      <c r="H15" s="46" t="s">
        <v>259</v>
      </c>
      <c r="I15" s="1" t="s">
        <v>141</v>
      </c>
    </row>
    <row r="16" spans="1:8" ht="12.75">
      <c r="A16" s="2" t="s">
        <v>231</v>
      </c>
      <c r="B16" s="2" t="s">
        <v>237</v>
      </c>
      <c r="C16" s="2">
        <v>0</v>
      </c>
      <c r="D16" s="2">
        <v>0</v>
      </c>
      <c r="E16" s="2" t="s">
        <v>237</v>
      </c>
      <c r="F16" s="2">
        <v>1</v>
      </c>
      <c r="G16" s="5" t="e">
        <f t="shared" si="0"/>
        <v>#DIV/0!</v>
      </c>
      <c r="H16" s="2"/>
    </row>
    <row r="17" spans="1:8" ht="12.75">
      <c r="A17" s="2" t="s">
        <v>232</v>
      </c>
      <c r="B17" s="2" t="s">
        <v>238</v>
      </c>
      <c r="C17" s="2">
        <v>0</v>
      </c>
      <c r="D17" s="2">
        <v>0</v>
      </c>
      <c r="E17" s="2" t="s">
        <v>238</v>
      </c>
      <c r="F17" s="2">
        <v>1</v>
      </c>
      <c r="G17" s="5" t="e">
        <f t="shared" si="0"/>
        <v>#DIV/0!</v>
      </c>
      <c r="H17" s="2"/>
    </row>
    <row r="18" spans="1:8" ht="12.75">
      <c r="A18" s="2" t="s">
        <v>233</v>
      </c>
      <c r="B18" s="2" t="s">
        <v>239</v>
      </c>
      <c r="C18" s="2">
        <v>0</v>
      </c>
      <c r="D18" s="2">
        <v>0</v>
      </c>
      <c r="E18" s="2" t="s">
        <v>239</v>
      </c>
      <c r="F18" s="2">
        <v>1</v>
      </c>
      <c r="G18" s="5" t="e">
        <f t="shared" si="0"/>
        <v>#DIV/0!</v>
      </c>
      <c r="H18" s="2"/>
    </row>
  </sheetData>
  <sheetProtection/>
  <mergeCells count="8">
    <mergeCell ref="H4:H5"/>
    <mergeCell ref="A1:H1"/>
    <mergeCell ref="A4:A5"/>
    <mergeCell ref="D4:D5"/>
    <mergeCell ref="C4:C5"/>
    <mergeCell ref="B4:B5"/>
    <mergeCell ref="E4:E5"/>
    <mergeCell ref="F4:F5"/>
  </mergeCells>
  <printOptions/>
  <pageMargins left="0.71" right="0.16" top="1" bottom="1" header="0.5" footer="0.5"/>
  <pageSetup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95" zoomScaleSheetLayoutView="95" zoomScalePageLayoutView="0" workbookViewId="0" topLeftCell="B1">
      <selection activeCell="E8" sqref="E8"/>
    </sheetView>
  </sheetViews>
  <sheetFormatPr defaultColWidth="9.00390625" defaultRowHeight="12.75"/>
  <cols>
    <col min="1" max="1" width="4.625" style="1" customWidth="1"/>
    <col min="2" max="2" width="38.125" style="1" bestFit="1" customWidth="1"/>
    <col min="3" max="3" width="24.75390625" style="1" customWidth="1"/>
    <col min="4" max="4" width="28.375" style="1" customWidth="1"/>
    <col min="5" max="5" width="22.00390625" style="1" customWidth="1"/>
    <col min="6" max="16384" width="9.125" style="1" customWidth="1"/>
  </cols>
  <sheetData>
    <row r="1" spans="1:6" ht="39" customHeight="1">
      <c r="A1" s="80" t="s">
        <v>0</v>
      </c>
      <c r="B1" s="80"/>
      <c r="C1" s="80"/>
      <c r="D1" s="80"/>
      <c r="E1" s="80"/>
      <c r="F1" s="80"/>
    </row>
    <row r="4" spans="1:6" ht="174.75" customHeight="1">
      <c r="A4" s="78" t="s">
        <v>29</v>
      </c>
      <c r="B4" s="78" t="s">
        <v>30</v>
      </c>
      <c r="C4" s="78" t="s">
        <v>325</v>
      </c>
      <c r="D4" s="78" t="s">
        <v>70</v>
      </c>
      <c r="E4" s="4" t="s">
        <v>1</v>
      </c>
      <c r="F4" s="78" t="s">
        <v>34</v>
      </c>
    </row>
    <row r="5" spans="1:6" ht="12.75">
      <c r="A5" s="79"/>
      <c r="B5" s="79"/>
      <c r="C5" s="79"/>
      <c r="D5" s="79"/>
      <c r="E5" s="6" t="s">
        <v>61</v>
      </c>
      <c r="F5" s="79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>
        <v>0</v>
      </c>
      <c r="J6" s="15" t="s">
        <v>127</v>
      </c>
      <c r="K6" s="15" t="s">
        <v>119</v>
      </c>
      <c r="L6" s="15" t="s">
        <v>120</v>
      </c>
      <c r="M6" s="15" t="s">
        <v>121</v>
      </c>
      <c r="N6" s="15" t="s">
        <v>128</v>
      </c>
    </row>
    <row r="7" spans="1:14" ht="12.75">
      <c r="A7" s="2">
        <v>1</v>
      </c>
      <c r="B7" s="2" t="s">
        <v>32</v>
      </c>
      <c r="C7" s="76">
        <v>0</v>
      </c>
      <c r="D7" s="23">
        <v>121379604.93</v>
      </c>
      <c r="E7" s="27">
        <f>C7/D7*100</f>
        <v>0</v>
      </c>
      <c r="F7" s="2">
        <f>HLOOKUP(TRUE,I7:N8,2,FALSE)</f>
        <v>5</v>
      </c>
      <c r="I7" s="2" t="b">
        <f>AND(E7=0)</f>
        <v>1</v>
      </c>
      <c r="J7" s="2" t="b">
        <f>AND(E7&lt;=1.5,E7&gt;0)</f>
        <v>0</v>
      </c>
      <c r="K7" s="2" t="b">
        <f>AND(E7&lt;=3,E7&gt;1.5)</f>
        <v>0</v>
      </c>
      <c r="L7" s="2" t="b">
        <f>AND(E7&lt;=4.5,E7&gt;3)</f>
        <v>0</v>
      </c>
      <c r="M7" s="2" t="b">
        <f>AND(E7&lt;=6,E7&gt;4.5)</f>
        <v>0</v>
      </c>
      <c r="N7" s="2" t="b">
        <f>AND(E7&gt;6)</f>
        <v>0</v>
      </c>
    </row>
    <row r="8" spans="1:14" ht="12.75">
      <c r="A8" s="2">
        <v>2</v>
      </c>
      <c r="B8" s="2" t="s">
        <v>326</v>
      </c>
      <c r="C8" s="76">
        <v>15200</v>
      </c>
      <c r="D8" s="23">
        <v>157841477.8</v>
      </c>
      <c r="E8" s="27">
        <f>C8/D8*100</f>
        <v>0.00962991490694216</v>
      </c>
      <c r="F8" s="2">
        <f>HLOOKUP(TRUE,I9:N10,2,FALSE)</f>
        <v>4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76">
        <v>0</v>
      </c>
      <c r="D9" s="23">
        <v>148566726.83</v>
      </c>
      <c r="E9" s="27">
        <f>C9/D9*100</f>
        <v>0</v>
      </c>
      <c r="F9" s="2">
        <f>HLOOKUP(TRUE,I11:N12,2,FALSE)</f>
        <v>5</v>
      </c>
      <c r="I9" s="2" t="b">
        <f>AND(E8=0)</f>
        <v>0</v>
      </c>
      <c r="J9" s="2" t="b">
        <f>AND(E8&lt;=1.5,E8&gt;0)</f>
        <v>1</v>
      </c>
      <c r="K9" s="2" t="b">
        <f>AND(E11&lt;=3,E11&gt;1.5)</f>
        <v>0</v>
      </c>
      <c r="L9" s="2" t="b">
        <f>AND(E8&lt;=4.5,E8&gt;3)</f>
        <v>0</v>
      </c>
      <c r="M9" s="2" t="b">
        <f>AND(E8&lt;=6,E8&gt;4.5)</f>
        <v>0</v>
      </c>
      <c r="N9" s="2" t="b">
        <f>AND(E8&gt;6)</f>
        <v>0</v>
      </c>
    </row>
    <row r="10" spans="1:14" ht="12.75">
      <c r="A10" s="2"/>
      <c r="B10" s="2"/>
      <c r="C10" s="23"/>
      <c r="D10" s="23"/>
      <c r="E10" s="27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b">
        <f>AND(E9=0)</f>
        <v>1</v>
      </c>
      <c r="J11" s="2" t="b">
        <f>AND(E9&lt;=1.5,E9&gt;0)</f>
        <v>0</v>
      </c>
      <c r="K11" s="2" t="b">
        <f>AND(E13&lt;=3,E13&gt;1.5)</f>
        <v>0</v>
      </c>
      <c r="L11" s="2" t="b">
        <f>AND(E9&lt;=4.5,E9&gt;3)</f>
        <v>0</v>
      </c>
      <c r="M11" s="2" t="b">
        <f>AND(E9&lt;=6,E9&gt;4.5)</f>
        <v>0</v>
      </c>
      <c r="N11" s="2" t="b">
        <f>AND(E9&gt;6)</f>
        <v>0</v>
      </c>
    </row>
    <row r="12" spans="9:14" ht="12.75"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  <row r="13" ht="15.75">
      <c r="B13" s="8"/>
    </row>
    <row r="14" ht="15.75">
      <c r="B14" s="9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95" zoomScaleSheetLayoutView="95" zoomScalePageLayoutView="0" workbookViewId="0" topLeftCell="A1">
      <selection activeCell="E7" sqref="E7"/>
    </sheetView>
  </sheetViews>
  <sheetFormatPr defaultColWidth="9.00390625" defaultRowHeight="12.75"/>
  <cols>
    <col min="1" max="1" width="4.625" style="1" customWidth="1"/>
    <col min="2" max="2" width="45.875" style="1" customWidth="1"/>
    <col min="3" max="3" width="20.875" style="1" customWidth="1"/>
    <col min="4" max="4" width="29.875" style="1" customWidth="1"/>
    <col min="5" max="5" width="17.75390625" style="1" bestFit="1" customWidth="1"/>
    <col min="6" max="6" width="9.125" style="1" customWidth="1"/>
    <col min="7" max="7" width="4.125" style="1" customWidth="1"/>
    <col min="8" max="8" width="3.875" style="1" customWidth="1"/>
    <col min="9" max="16384" width="9.125" style="1" customWidth="1"/>
  </cols>
  <sheetData>
    <row r="1" spans="1:6" ht="26.25" customHeight="1">
      <c r="A1" s="80" t="s">
        <v>37</v>
      </c>
      <c r="B1" s="80"/>
      <c r="C1" s="80"/>
      <c r="D1" s="80"/>
      <c r="E1" s="80"/>
      <c r="F1" s="80"/>
    </row>
    <row r="4" spans="1:6" ht="154.5" customHeight="1">
      <c r="A4" s="78" t="s">
        <v>29</v>
      </c>
      <c r="B4" s="78" t="s">
        <v>30</v>
      </c>
      <c r="C4" s="78" t="s">
        <v>38</v>
      </c>
      <c r="D4" s="78" t="s">
        <v>39</v>
      </c>
      <c r="E4" s="4" t="s">
        <v>40</v>
      </c>
      <c r="F4" s="78" t="s">
        <v>34</v>
      </c>
    </row>
    <row r="5" spans="1:6" ht="12.75">
      <c r="A5" s="79"/>
      <c r="B5" s="79"/>
      <c r="C5" s="79"/>
      <c r="D5" s="79"/>
      <c r="E5" s="2" t="s">
        <v>31</v>
      </c>
      <c r="F5" s="79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 t="s">
        <v>86</v>
      </c>
      <c r="J6" s="1" t="s">
        <v>87</v>
      </c>
      <c r="K6" s="1" t="s">
        <v>88</v>
      </c>
      <c r="L6" s="1" t="s">
        <v>89</v>
      </c>
      <c r="M6" s="1" t="s">
        <v>90</v>
      </c>
      <c r="N6" s="1">
        <v>50</v>
      </c>
    </row>
    <row r="7" spans="1:14" ht="12.75">
      <c r="A7" s="2">
        <v>1</v>
      </c>
      <c r="B7" s="2" t="s">
        <v>32</v>
      </c>
      <c r="C7" s="2">
        <v>28</v>
      </c>
      <c r="D7" s="2">
        <v>0</v>
      </c>
      <c r="E7" s="5">
        <f>(C7-D7)/C7*100</f>
        <v>100</v>
      </c>
      <c r="F7" s="2">
        <f>HLOOKUP(TRUE,I7:N8,2,FALSE)</f>
        <v>5</v>
      </c>
      <c r="I7" s="2" t="b">
        <f>AND(E7&lt;=100,E7&gt;=90)</f>
        <v>1</v>
      </c>
      <c r="J7" s="2" t="b">
        <f>AND(E7&lt;90,E7&gt;=80)</f>
        <v>0</v>
      </c>
      <c r="K7" s="2" t="b">
        <f>AND(E7&lt;80,E7&gt;=70)</f>
        <v>0</v>
      </c>
      <c r="L7" s="2" t="b">
        <f>AND(E7&lt;70,E7&gt;=60)</f>
        <v>0</v>
      </c>
      <c r="M7" s="2" t="b">
        <f>AND(E7&lt;60,E7&gt;=50)</f>
        <v>0</v>
      </c>
      <c r="N7" s="2" t="b">
        <f>AND(E7&lt;50)</f>
        <v>0</v>
      </c>
    </row>
    <row r="8" spans="1:14" ht="12.75">
      <c r="A8" s="2">
        <v>2</v>
      </c>
      <c r="B8" s="2" t="s">
        <v>326</v>
      </c>
      <c r="C8" s="2">
        <v>14</v>
      </c>
      <c r="D8" s="2">
        <v>0</v>
      </c>
      <c r="E8" s="5">
        <f>(C8-D8)/C8*100</f>
        <v>100</v>
      </c>
      <c r="F8" s="2">
        <f>HLOOKUP(TRUE,I9:N10,2,FALSE)</f>
        <v>5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2">
        <v>14</v>
      </c>
      <c r="D9" s="2">
        <v>0</v>
      </c>
      <c r="E9" s="5">
        <f>(C9-D9)/C9*100</f>
        <v>100</v>
      </c>
      <c r="F9" s="2">
        <f>HLOOKUP(TRUE,I11:N12,2,FALSE)</f>
        <v>5</v>
      </c>
      <c r="I9" s="2" t="b">
        <f>AND(E8&lt;=100,E8&gt;=90)</f>
        <v>1</v>
      </c>
      <c r="J9" s="2" t="b">
        <f>AND(E8&lt;90,E8&gt;=80)</f>
        <v>0</v>
      </c>
      <c r="K9" s="2" t="b">
        <f>AND(E8&lt;80,E8&gt;=70)</f>
        <v>0</v>
      </c>
      <c r="L9" s="2" t="b">
        <f>AND(E8&lt;70,E8&gt;=60)</f>
        <v>0</v>
      </c>
      <c r="M9" s="2" t="b">
        <f>AND(E8&lt;60,E8&gt;=50)</f>
        <v>0</v>
      </c>
      <c r="N9" s="2" t="b">
        <f>AND(E8&lt;50)</f>
        <v>0</v>
      </c>
    </row>
    <row r="10" spans="1:14" ht="12.75">
      <c r="A10" s="2"/>
      <c r="B10" s="2"/>
      <c r="C10" s="2"/>
      <c r="D10" s="2"/>
      <c r="E10" s="2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b">
        <f>AND(E9&lt;=100,E9&gt;=90)</f>
        <v>1</v>
      </c>
      <c r="J11" s="2" t="b">
        <f>AND(E9&lt;90,E9&gt;=80)</f>
        <v>0</v>
      </c>
      <c r="K11" s="2" t="b">
        <f>AND(E9&lt;80,E9&gt;=70)</f>
        <v>0</v>
      </c>
      <c r="L11" s="2" t="b">
        <f>AND(E9&lt;70,E9&gt;=60)</f>
        <v>0</v>
      </c>
      <c r="M11" s="2" t="b">
        <f>AND(E9&lt;60,E9&gt;=50)</f>
        <v>0</v>
      </c>
      <c r="N11" s="2" t="b">
        <f>AND(E9&lt;50)</f>
        <v>0</v>
      </c>
    </row>
    <row r="12" spans="9:14" ht="12.75"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95" zoomScaleSheetLayoutView="95" zoomScalePageLayoutView="0" workbookViewId="0" topLeftCell="A1">
      <selection activeCell="B8" sqref="B8"/>
    </sheetView>
  </sheetViews>
  <sheetFormatPr defaultColWidth="9.00390625" defaultRowHeight="12.75"/>
  <cols>
    <col min="1" max="1" width="4.625" style="1" customWidth="1"/>
    <col min="2" max="2" width="41.125" style="1" customWidth="1"/>
    <col min="3" max="3" width="22.00390625" style="1" customWidth="1"/>
    <col min="4" max="16384" width="9.125" style="1" customWidth="1"/>
  </cols>
  <sheetData>
    <row r="1" spans="1:4" ht="45.75" customHeight="1">
      <c r="A1" s="80" t="s">
        <v>3</v>
      </c>
      <c r="B1" s="80"/>
      <c r="C1" s="80"/>
      <c r="D1" s="80"/>
    </row>
    <row r="4" spans="1:4" ht="24" customHeight="1">
      <c r="A4" s="78" t="s">
        <v>29</v>
      </c>
      <c r="B4" s="78" t="s">
        <v>30</v>
      </c>
      <c r="C4" s="78" t="s">
        <v>173</v>
      </c>
      <c r="D4" s="78" t="s">
        <v>34</v>
      </c>
    </row>
    <row r="5" spans="1:4" ht="12.75">
      <c r="A5" s="79"/>
      <c r="B5" s="79"/>
      <c r="C5" s="79"/>
      <c r="D5" s="79"/>
    </row>
    <row r="6" spans="1:4" ht="12.75">
      <c r="A6" s="3">
        <v>1</v>
      </c>
      <c r="B6" s="3">
        <v>2</v>
      </c>
      <c r="C6" s="3">
        <v>3</v>
      </c>
      <c r="D6" s="3">
        <v>4</v>
      </c>
    </row>
    <row r="7" spans="1:4" ht="12.75">
      <c r="A7" s="2">
        <v>1</v>
      </c>
      <c r="B7" s="2" t="s">
        <v>32</v>
      </c>
      <c r="C7" s="17" t="s">
        <v>136</v>
      </c>
      <c r="D7" s="2">
        <f>IF(C7="да",5,0)</f>
        <v>5</v>
      </c>
    </row>
    <row r="8" spans="1:4" ht="12.75">
      <c r="A8" s="2">
        <v>2</v>
      </c>
      <c r="B8" s="2" t="s">
        <v>326</v>
      </c>
      <c r="C8" s="17" t="s">
        <v>136</v>
      </c>
      <c r="D8" s="2">
        <f>IF(C8="да",5,0)</f>
        <v>5</v>
      </c>
    </row>
    <row r="9" spans="1:4" ht="12.75">
      <c r="A9" s="2">
        <v>3</v>
      </c>
      <c r="B9" s="2" t="s">
        <v>33</v>
      </c>
      <c r="C9" s="17" t="s">
        <v>136</v>
      </c>
      <c r="D9" s="2">
        <f>IF(C9="да",5,0)</f>
        <v>5</v>
      </c>
    </row>
    <row r="10" spans="1:4" ht="12.75">
      <c r="A10" s="2"/>
      <c r="B10" s="2"/>
      <c r="C10" s="17"/>
      <c r="D10" s="2"/>
    </row>
    <row r="12" ht="63.75">
      <c r="B12" s="10" t="s">
        <v>2</v>
      </c>
    </row>
  </sheetData>
  <sheetProtection/>
  <mergeCells count="5">
    <mergeCell ref="D4:D5"/>
    <mergeCell ref="A1:D1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95" zoomScaleSheetLayoutView="95" zoomScalePageLayoutView="0" workbookViewId="0" topLeftCell="A1">
      <selection activeCell="B8" sqref="B8"/>
    </sheetView>
  </sheetViews>
  <sheetFormatPr defaultColWidth="9.00390625" defaultRowHeight="12.75"/>
  <cols>
    <col min="1" max="1" width="4.625" style="1" customWidth="1"/>
    <col min="2" max="2" width="39.125" style="1" customWidth="1"/>
    <col min="3" max="3" width="22.00390625" style="1" customWidth="1"/>
    <col min="4" max="16384" width="9.125" style="1" customWidth="1"/>
  </cols>
  <sheetData>
    <row r="1" spans="1:4" ht="24.75" customHeight="1">
      <c r="A1" s="80" t="s">
        <v>6</v>
      </c>
      <c r="B1" s="80"/>
      <c r="C1" s="80"/>
      <c r="D1" s="80"/>
    </row>
    <row r="4" spans="1:4" ht="30" customHeight="1">
      <c r="A4" s="78" t="s">
        <v>29</v>
      </c>
      <c r="B4" s="78" t="s">
        <v>30</v>
      </c>
      <c r="C4" s="78" t="s">
        <v>174</v>
      </c>
      <c r="D4" s="78" t="s">
        <v>34</v>
      </c>
    </row>
    <row r="5" spans="1:4" ht="18.75" customHeight="1">
      <c r="A5" s="79"/>
      <c r="B5" s="79"/>
      <c r="C5" s="79"/>
      <c r="D5" s="79"/>
    </row>
    <row r="6" spans="1:4" ht="12.75">
      <c r="A6" s="3">
        <v>1</v>
      </c>
      <c r="B6" s="3">
        <v>2</v>
      </c>
      <c r="C6" s="3">
        <v>3</v>
      </c>
      <c r="D6" s="3">
        <v>4</v>
      </c>
    </row>
    <row r="7" spans="1:4" ht="12.75">
      <c r="A7" s="2">
        <v>1</v>
      </c>
      <c r="B7" s="2" t="s">
        <v>32</v>
      </c>
      <c r="C7" s="17" t="s">
        <v>136</v>
      </c>
      <c r="D7" s="2">
        <f>IF(C7="да",5,0)</f>
        <v>5</v>
      </c>
    </row>
    <row r="8" spans="1:4" ht="12.75">
      <c r="A8" s="2">
        <v>2</v>
      </c>
      <c r="B8" s="2" t="s">
        <v>326</v>
      </c>
      <c r="C8" s="17" t="s">
        <v>136</v>
      </c>
      <c r="D8" s="2">
        <f>IF(C8="да",5,0)</f>
        <v>5</v>
      </c>
    </row>
    <row r="9" spans="1:4" ht="12.75">
      <c r="A9" s="2">
        <v>3</v>
      </c>
      <c r="B9" s="2" t="s">
        <v>33</v>
      </c>
      <c r="C9" s="17" t="s">
        <v>136</v>
      </c>
      <c r="D9" s="2">
        <f>IF(C9="да",5,0)</f>
        <v>5</v>
      </c>
    </row>
    <row r="10" spans="1:4" ht="12.75">
      <c r="A10" s="2"/>
      <c r="B10" s="2"/>
      <c r="C10" s="17"/>
      <c r="D10" s="2"/>
    </row>
    <row r="13" spans="2:4" ht="63">
      <c r="B13" s="11" t="s">
        <v>4</v>
      </c>
      <c r="D13" s="1">
        <v>5</v>
      </c>
    </row>
    <row r="14" spans="2:4" ht="47.25">
      <c r="B14" s="11" t="s">
        <v>5</v>
      </c>
      <c r="D14" s="1">
        <v>0</v>
      </c>
    </row>
  </sheetData>
  <sheetProtection/>
  <mergeCells count="5">
    <mergeCell ref="D4:D5"/>
    <mergeCell ref="A1:D1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95" zoomScaleSheetLayoutView="95" zoomScalePageLayoutView="0" workbookViewId="0" topLeftCell="B1">
      <selection activeCell="C11" sqref="C11"/>
    </sheetView>
  </sheetViews>
  <sheetFormatPr defaultColWidth="9.00390625" defaultRowHeight="12.75"/>
  <cols>
    <col min="1" max="1" width="4.625" style="1" customWidth="1"/>
    <col min="2" max="2" width="38.875" style="1" customWidth="1"/>
    <col min="3" max="3" width="22.00390625" style="1" customWidth="1"/>
    <col min="4" max="4" width="9.125" style="1" customWidth="1"/>
    <col min="5" max="5" width="12.875" style="1" customWidth="1"/>
    <col min="6" max="16384" width="9.125" style="1" customWidth="1"/>
  </cols>
  <sheetData>
    <row r="1" spans="1:4" ht="69" customHeight="1">
      <c r="A1" s="80" t="s">
        <v>8</v>
      </c>
      <c r="B1" s="80"/>
      <c r="C1" s="80"/>
      <c r="D1" s="80"/>
    </row>
    <row r="4" spans="1:4" ht="36.75" customHeight="1">
      <c r="A4" s="78" t="s">
        <v>29</v>
      </c>
      <c r="B4" s="78" t="s">
        <v>30</v>
      </c>
      <c r="C4" s="86" t="s">
        <v>13</v>
      </c>
      <c r="D4" s="78" t="s">
        <v>34</v>
      </c>
    </row>
    <row r="5" spans="1:4" ht="18.75" customHeight="1">
      <c r="A5" s="79"/>
      <c r="B5" s="79"/>
      <c r="C5" s="87"/>
      <c r="D5" s="79"/>
    </row>
    <row r="6" spans="1:4" ht="12.75">
      <c r="A6" s="3">
        <v>1</v>
      </c>
      <c r="B6" s="3">
        <v>2</v>
      </c>
      <c r="C6" s="3">
        <v>3</v>
      </c>
      <c r="D6" s="3">
        <v>4</v>
      </c>
    </row>
    <row r="7" spans="1:4" ht="12.75">
      <c r="A7" s="2">
        <v>1</v>
      </c>
      <c r="B7" s="2" t="s">
        <v>32</v>
      </c>
      <c r="C7" s="17" t="s">
        <v>136</v>
      </c>
      <c r="D7" s="2">
        <f>IF(C7="да",5,0)</f>
        <v>5</v>
      </c>
    </row>
    <row r="8" spans="1:4" ht="12.75">
      <c r="A8" s="2">
        <v>2</v>
      </c>
      <c r="B8" s="2" t="s">
        <v>326</v>
      </c>
      <c r="C8" s="17" t="s">
        <v>136</v>
      </c>
      <c r="D8" s="2">
        <f>IF(C8="да",5,0)</f>
        <v>5</v>
      </c>
    </row>
    <row r="9" spans="1:5" ht="12.75">
      <c r="A9" s="2">
        <v>3</v>
      </c>
      <c r="B9" s="2" t="s">
        <v>33</v>
      </c>
      <c r="C9" s="17" t="s">
        <v>259</v>
      </c>
      <c r="D9" s="46" t="s">
        <v>259</v>
      </c>
      <c r="E9" s="1" t="s">
        <v>140</v>
      </c>
    </row>
    <row r="10" spans="1:4" ht="12.75">
      <c r="A10" s="2"/>
      <c r="B10" s="2"/>
      <c r="C10" s="17"/>
      <c r="D10" s="46"/>
    </row>
    <row r="12" spans="2:4" ht="173.25">
      <c r="B12" s="11" t="s">
        <v>7</v>
      </c>
      <c r="C12" s="84"/>
      <c r="D12" s="85">
        <v>5</v>
      </c>
    </row>
    <row r="13" spans="2:4" ht="47.25">
      <c r="B13" s="11" t="s">
        <v>9</v>
      </c>
      <c r="C13" s="84"/>
      <c r="D13" s="85"/>
    </row>
    <row r="14" spans="2:4" ht="220.5">
      <c r="B14" s="11" t="s">
        <v>10</v>
      </c>
      <c r="C14" s="12"/>
      <c r="D14" s="13">
        <v>0</v>
      </c>
    </row>
  </sheetData>
  <sheetProtection/>
  <mergeCells count="7">
    <mergeCell ref="C12:C13"/>
    <mergeCell ref="D12:D13"/>
    <mergeCell ref="D4:D5"/>
    <mergeCell ref="A1:D1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M16"/>
  <sheetViews>
    <sheetView view="pageBreakPreview" zoomScale="95" zoomScaleSheetLayoutView="95" zoomScalePageLayoutView="0" workbookViewId="0" topLeftCell="A1">
      <selection activeCell="B8" sqref="B8"/>
    </sheetView>
  </sheetViews>
  <sheetFormatPr defaultColWidth="9.00390625" defaultRowHeight="12.75"/>
  <cols>
    <col min="1" max="1" width="4.625" style="1" customWidth="1"/>
    <col min="2" max="2" width="40.125" style="1" bestFit="1" customWidth="1"/>
    <col min="3" max="3" width="24.75390625" style="1" customWidth="1"/>
    <col min="4" max="4" width="21.625" style="1" customWidth="1"/>
    <col min="5" max="5" width="22.00390625" style="1" customWidth="1"/>
    <col min="6" max="16384" width="9.125" style="1" customWidth="1"/>
  </cols>
  <sheetData>
    <row r="1" spans="1:6" ht="24" customHeight="1">
      <c r="A1" s="80" t="s">
        <v>11</v>
      </c>
      <c r="B1" s="80"/>
      <c r="C1" s="80"/>
      <c r="D1" s="80"/>
      <c r="E1" s="80"/>
      <c r="F1" s="80"/>
    </row>
    <row r="4" spans="1:6" ht="105.75" customHeight="1">
      <c r="A4" s="78" t="s">
        <v>29</v>
      </c>
      <c r="B4" s="78" t="s">
        <v>30</v>
      </c>
      <c r="C4" s="78" t="s">
        <v>151</v>
      </c>
      <c r="D4" s="78" t="s">
        <v>150</v>
      </c>
      <c r="E4" s="4" t="s">
        <v>14</v>
      </c>
      <c r="F4" s="78" t="s">
        <v>34</v>
      </c>
    </row>
    <row r="5" spans="1:6" ht="15" customHeight="1">
      <c r="A5" s="79"/>
      <c r="B5" s="79"/>
      <c r="C5" s="79"/>
      <c r="D5" s="79"/>
      <c r="E5" s="6" t="s">
        <v>61</v>
      </c>
      <c r="F5" s="79"/>
    </row>
    <row r="6" spans="1:13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>
        <v>0</v>
      </c>
      <c r="J6" s="15" t="s">
        <v>129</v>
      </c>
      <c r="K6" s="15" t="s">
        <v>130</v>
      </c>
      <c r="L6" s="15" t="s">
        <v>131</v>
      </c>
      <c r="M6" s="15" t="s">
        <v>132</v>
      </c>
    </row>
    <row r="7" spans="1:13" ht="12.75">
      <c r="A7" s="2">
        <v>1</v>
      </c>
      <c r="B7" s="2" t="s">
        <v>32</v>
      </c>
      <c r="C7" s="2">
        <v>0</v>
      </c>
      <c r="D7" s="2">
        <v>0</v>
      </c>
      <c r="E7" s="5">
        <v>0</v>
      </c>
      <c r="F7" s="2">
        <f>HLOOKUP(TRUE,I7:N8,2,FALSE)</f>
        <v>5</v>
      </c>
      <c r="I7" s="2" t="b">
        <f>AND(E7=0)</f>
        <v>1</v>
      </c>
      <c r="J7" s="2" t="b">
        <f>AND(E7&lt;=15,E7&gt;0)</f>
        <v>0</v>
      </c>
      <c r="K7" s="2" t="b">
        <f>AND(E7&lt;=30,E7&gt;15)</f>
        <v>0</v>
      </c>
      <c r="L7" s="2" t="b">
        <f>AND(E7&lt;=50,E7&gt;30)</f>
        <v>0</v>
      </c>
      <c r="M7" s="2" t="b">
        <f>AND(E7&gt;50)</f>
        <v>0</v>
      </c>
    </row>
    <row r="8" spans="1:13" ht="12.75">
      <c r="A8" s="2">
        <v>2</v>
      </c>
      <c r="B8" s="2" t="s">
        <v>326</v>
      </c>
      <c r="C8" s="2">
        <v>0</v>
      </c>
      <c r="D8" s="2">
        <v>0</v>
      </c>
      <c r="E8" s="5">
        <v>0</v>
      </c>
      <c r="F8" s="2">
        <f>HLOOKUP(TRUE,I9:M10,2,FALSE)</f>
        <v>5</v>
      </c>
      <c r="I8" s="2">
        <v>5</v>
      </c>
      <c r="J8" s="2">
        <v>4</v>
      </c>
      <c r="K8" s="2">
        <v>3</v>
      </c>
      <c r="L8" s="2">
        <v>1</v>
      </c>
      <c r="M8" s="2">
        <v>0</v>
      </c>
    </row>
    <row r="9" spans="1:13" ht="12.75">
      <c r="A9" s="2">
        <v>3</v>
      </c>
      <c r="B9" s="2" t="s">
        <v>33</v>
      </c>
      <c r="C9" s="2">
        <v>0</v>
      </c>
      <c r="D9" s="2">
        <v>0</v>
      </c>
      <c r="E9" s="5">
        <v>0</v>
      </c>
      <c r="F9" s="2">
        <f>HLOOKUP(TRUE,I11:M12,2,FALSE)</f>
        <v>5</v>
      </c>
      <c r="I9" s="2" t="b">
        <f>AND(E8=0)</f>
        <v>1</v>
      </c>
      <c r="J9" s="2" t="b">
        <f>AND(E8&lt;=15,E8&gt;0)</f>
        <v>0</v>
      </c>
      <c r="K9" s="2" t="b">
        <f>AND(E8&lt;=30,E8&gt;15)</f>
        <v>0</v>
      </c>
      <c r="L9" s="2" t="b">
        <f>AND(E8&lt;=50,E8&gt;30)</f>
        <v>0</v>
      </c>
      <c r="M9" s="2" t="b">
        <f>AND(E8&gt;50)</f>
        <v>0</v>
      </c>
    </row>
    <row r="10" spans="1:13" ht="12.75">
      <c r="A10" s="2"/>
      <c r="B10" s="2"/>
      <c r="C10" s="2"/>
      <c r="D10" s="2"/>
      <c r="E10" s="5"/>
      <c r="F10" s="2"/>
      <c r="I10" s="2">
        <v>5</v>
      </c>
      <c r="J10" s="2">
        <v>4</v>
      </c>
      <c r="K10" s="2">
        <v>3</v>
      </c>
      <c r="L10" s="2">
        <v>1</v>
      </c>
      <c r="M10" s="2">
        <v>0</v>
      </c>
    </row>
    <row r="11" spans="9:13" ht="12.75">
      <c r="I11" s="2" t="b">
        <f>AND(E9=0)</f>
        <v>1</v>
      </c>
      <c r="J11" s="2" t="b">
        <f>AND(E9&lt;=15,E9&gt;0)</f>
        <v>0</v>
      </c>
      <c r="K11" s="2" t="b">
        <f>AND(E9&lt;=30,E9&gt;15)</f>
        <v>0</v>
      </c>
      <c r="L11" s="2" t="b">
        <f>AND(E9&lt;=50,E9&gt;30)</f>
        <v>0</v>
      </c>
      <c r="M11" s="2" t="b">
        <f>AND(E9&gt;50)</f>
        <v>0</v>
      </c>
    </row>
    <row r="12" spans="9:13" ht="12.75">
      <c r="I12" s="2">
        <v>5</v>
      </c>
      <c r="J12" s="2">
        <v>4</v>
      </c>
      <c r="K12" s="2">
        <v>3</v>
      </c>
      <c r="L12" s="2">
        <v>1</v>
      </c>
      <c r="M12" s="2">
        <v>0</v>
      </c>
    </row>
    <row r="13" ht="15.75">
      <c r="B13" s="8"/>
    </row>
    <row r="14" spans="2:5" ht="15.75">
      <c r="B14" s="9"/>
      <c r="D14" s="21">
        <v>0</v>
      </c>
      <c r="E14" s="5" t="e">
        <f>C14/D14*100</f>
        <v>#DIV/0!</v>
      </c>
    </row>
    <row r="15" spans="4:5" ht="12.75">
      <c r="D15" s="21">
        <v>0</v>
      </c>
      <c r="E15" s="5" t="e">
        <f>C15/D15*100</f>
        <v>#DIV/0!</v>
      </c>
    </row>
    <row r="16" spans="4:5" ht="12.75">
      <c r="D16" s="21">
        <v>0</v>
      </c>
      <c r="E16" s="5" t="e">
        <f>C16/D16*100</f>
        <v>#DIV/0!</v>
      </c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N14"/>
  <sheetViews>
    <sheetView view="pageBreakPreview" zoomScale="95" zoomScaleSheetLayoutView="95" zoomScalePageLayoutView="0" workbookViewId="0" topLeftCell="A1">
      <selection activeCell="D8" sqref="D8"/>
    </sheetView>
  </sheetViews>
  <sheetFormatPr defaultColWidth="9.00390625" defaultRowHeight="12.75"/>
  <cols>
    <col min="1" max="1" width="4.625" style="1" customWidth="1"/>
    <col min="2" max="2" width="45.00390625" style="1" customWidth="1"/>
    <col min="3" max="3" width="24.75390625" style="1" customWidth="1"/>
    <col min="4" max="4" width="23.375" style="1" customWidth="1"/>
    <col min="5" max="5" width="22.00390625" style="1" customWidth="1"/>
    <col min="6" max="16384" width="9.125" style="1" customWidth="1"/>
  </cols>
  <sheetData>
    <row r="1" spans="1:6" ht="17.25" customHeight="1">
      <c r="A1" s="80" t="s">
        <v>16</v>
      </c>
      <c r="B1" s="80"/>
      <c r="C1" s="80"/>
      <c r="D1" s="80"/>
      <c r="E1" s="80"/>
      <c r="F1" s="80"/>
    </row>
    <row r="4" spans="1:6" ht="86.25" customHeight="1">
      <c r="A4" s="78" t="s">
        <v>29</v>
      </c>
      <c r="B4" s="78" t="s">
        <v>30</v>
      </c>
      <c r="C4" s="78" t="s">
        <v>152</v>
      </c>
      <c r="D4" s="78" t="s">
        <v>153</v>
      </c>
      <c r="E4" s="4" t="s">
        <v>15</v>
      </c>
      <c r="F4" s="78" t="s">
        <v>34</v>
      </c>
    </row>
    <row r="5" spans="1:6" ht="12.75">
      <c r="A5" s="79"/>
      <c r="B5" s="79"/>
      <c r="C5" s="79"/>
      <c r="D5" s="79"/>
      <c r="E5" s="6" t="s">
        <v>61</v>
      </c>
      <c r="F5" s="79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>
        <v>0</v>
      </c>
      <c r="J6" s="15" t="s">
        <v>124</v>
      </c>
      <c r="K6" s="15" t="s">
        <v>102</v>
      </c>
      <c r="L6" s="15" t="s">
        <v>133</v>
      </c>
      <c r="M6" s="15" t="s">
        <v>134</v>
      </c>
      <c r="N6" s="15" t="s">
        <v>135</v>
      </c>
    </row>
    <row r="7" spans="1:14" ht="12.75">
      <c r="A7" s="2">
        <v>1</v>
      </c>
      <c r="B7" s="2" t="s">
        <v>32</v>
      </c>
      <c r="C7" s="75">
        <v>0</v>
      </c>
      <c r="D7" s="75">
        <v>0</v>
      </c>
      <c r="E7" s="5" t="e">
        <f>C7/D7*100</f>
        <v>#DIV/0!</v>
      </c>
      <c r="F7" s="2" t="e">
        <f>HLOOKUP(TRUE,I7:N8,2,FALSE)</f>
        <v>#N/A</v>
      </c>
      <c r="I7" s="2" t="e">
        <f>AND(E7=0)</f>
        <v>#DIV/0!</v>
      </c>
      <c r="J7" s="2" t="e">
        <f>AND(E7&lt;=5,E7&gt;0)</f>
        <v>#DIV/0!</v>
      </c>
      <c r="K7" s="2" t="e">
        <f>AND(E7&lt;=10,E7&gt;5)</f>
        <v>#DIV/0!</v>
      </c>
      <c r="L7" s="2" t="e">
        <f>AND(E7&lt;=15,E7&gt;10)</f>
        <v>#DIV/0!</v>
      </c>
      <c r="M7" s="2" t="e">
        <f>AND(E7&lt;=20,E7&gt;15)</f>
        <v>#DIV/0!</v>
      </c>
      <c r="N7" s="2" t="e">
        <f>AND(E7&gt;20)</f>
        <v>#DIV/0!</v>
      </c>
    </row>
    <row r="8" spans="1:14" ht="12.75">
      <c r="A8" s="2">
        <v>2</v>
      </c>
      <c r="B8" s="2" t="s">
        <v>326</v>
      </c>
      <c r="C8" s="75">
        <v>1</v>
      </c>
      <c r="D8" s="75">
        <v>2</v>
      </c>
      <c r="E8" s="5">
        <f>C8/D8*100</f>
        <v>50</v>
      </c>
      <c r="F8" s="2">
        <f>HLOOKUP(TRUE,I9:N10,2,FALSE)</f>
        <v>0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75">
        <v>0</v>
      </c>
      <c r="D9" s="75">
        <v>0</v>
      </c>
      <c r="E9" s="5">
        <v>0</v>
      </c>
      <c r="F9" s="2">
        <f>HLOOKUP(TRUE,I11:N12,2,FALSE)</f>
        <v>5</v>
      </c>
      <c r="I9" s="2" t="b">
        <f>AND(E8=0)</f>
        <v>0</v>
      </c>
      <c r="J9" s="2" t="b">
        <f>AND(E8&lt;=5,E8&gt;0)</f>
        <v>0</v>
      </c>
      <c r="K9" s="2" t="b">
        <f>AND(E8&lt;=10,E8&gt;5)</f>
        <v>0</v>
      </c>
      <c r="L9" s="2" t="b">
        <f>AND(E8&lt;=15,E8&gt;10)</f>
        <v>0</v>
      </c>
      <c r="M9" s="2" t="b">
        <f>AND(E8&lt;=20,E8&gt;15)</f>
        <v>0</v>
      </c>
      <c r="N9" s="2" t="b">
        <f>AND(E8&gt;20)</f>
        <v>1</v>
      </c>
    </row>
    <row r="10" spans="1:14" ht="12.75">
      <c r="A10" s="2"/>
      <c r="B10" s="2"/>
      <c r="C10" s="2"/>
      <c r="D10" s="2"/>
      <c r="E10" s="5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b">
        <f>AND(E9=0)</f>
        <v>1</v>
      </c>
      <c r="J11" s="2" t="b">
        <f>AND(E9&lt;=5,E9&gt;0)</f>
        <v>0</v>
      </c>
      <c r="K11" s="2" t="b">
        <f>AND(E9&lt;=10,E9&gt;5)</f>
        <v>0</v>
      </c>
      <c r="L11" s="2" t="b">
        <f>AND(E9&lt;=15,E9&gt;10)</f>
        <v>0</v>
      </c>
      <c r="M11" s="2" t="b">
        <f>AND(E9&lt;=20,E9&gt;15)</f>
        <v>0</v>
      </c>
      <c r="N11" s="2" t="b">
        <f>AND(E9&gt;20)</f>
        <v>0</v>
      </c>
    </row>
    <row r="12" spans="9:14" ht="12.75"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  <row r="13" ht="157.5">
      <c r="B13" s="9" t="s">
        <v>12</v>
      </c>
    </row>
    <row r="14" ht="15.75">
      <c r="B14" s="9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D13"/>
  <sheetViews>
    <sheetView view="pageBreakPreview" zoomScale="95" zoomScaleSheetLayoutView="95" zoomScalePageLayoutView="0" workbookViewId="0" topLeftCell="A1">
      <selection activeCell="B8" sqref="B8"/>
    </sheetView>
  </sheetViews>
  <sheetFormatPr defaultColWidth="9.00390625" defaultRowHeight="12.75"/>
  <cols>
    <col min="1" max="1" width="4.625" style="1" customWidth="1"/>
    <col min="2" max="2" width="39.375" style="1" customWidth="1"/>
    <col min="3" max="3" width="22.00390625" style="1" customWidth="1"/>
    <col min="4" max="16384" width="9.125" style="1" customWidth="1"/>
  </cols>
  <sheetData>
    <row r="1" spans="1:4" ht="21.75" customHeight="1">
      <c r="A1" s="80" t="s">
        <v>83</v>
      </c>
      <c r="B1" s="80"/>
      <c r="C1" s="80"/>
      <c r="D1" s="80"/>
    </row>
    <row r="4" spans="1:4" ht="31.5" customHeight="1">
      <c r="A4" s="78" t="s">
        <v>29</v>
      </c>
      <c r="B4" s="78" t="s">
        <v>30</v>
      </c>
      <c r="C4" s="86" t="s">
        <v>17</v>
      </c>
      <c r="D4" s="78" t="s">
        <v>34</v>
      </c>
    </row>
    <row r="5" spans="1:4" ht="12.75">
      <c r="A5" s="79"/>
      <c r="B5" s="79"/>
      <c r="C5" s="87"/>
      <c r="D5" s="79"/>
    </row>
    <row r="6" spans="1:4" ht="12.75">
      <c r="A6" s="3">
        <v>1</v>
      </c>
      <c r="B6" s="3">
        <v>2</v>
      </c>
      <c r="C6" s="3">
        <v>3</v>
      </c>
      <c r="D6" s="3">
        <v>4</v>
      </c>
    </row>
    <row r="7" spans="1:4" ht="12.75">
      <c r="A7" s="2">
        <v>1</v>
      </c>
      <c r="B7" s="2" t="s">
        <v>32</v>
      </c>
      <c r="C7" s="17" t="s">
        <v>136</v>
      </c>
      <c r="D7" s="2">
        <f>IF(C7="да",5,0)</f>
        <v>5</v>
      </c>
    </row>
    <row r="8" spans="1:4" ht="12.75">
      <c r="A8" s="2">
        <v>2</v>
      </c>
      <c r="B8" s="2" t="s">
        <v>326</v>
      </c>
      <c r="C8" s="17" t="s">
        <v>136</v>
      </c>
      <c r="D8" s="2">
        <f>IF(C8="да",5,0)</f>
        <v>5</v>
      </c>
    </row>
    <row r="9" spans="1:4" ht="12.75">
      <c r="A9" s="2">
        <v>3</v>
      </c>
      <c r="B9" s="2" t="s">
        <v>33</v>
      </c>
      <c r="C9" s="17" t="s">
        <v>136</v>
      </c>
      <c r="D9" s="2">
        <f>IF(C9="да",5,0)</f>
        <v>5</v>
      </c>
    </row>
    <row r="10" spans="1:4" ht="12.75">
      <c r="A10" s="2"/>
      <c r="B10" s="2"/>
      <c r="C10" s="17"/>
      <c r="D10" s="2"/>
    </row>
    <row r="12" spans="2:4" ht="47.25">
      <c r="B12" s="11" t="s">
        <v>18</v>
      </c>
      <c r="C12" s="11"/>
      <c r="D12" s="13">
        <v>5</v>
      </c>
    </row>
    <row r="13" spans="2:4" ht="63">
      <c r="B13" s="11" t="s">
        <v>19</v>
      </c>
      <c r="C13" s="11"/>
      <c r="D13" s="13">
        <v>0</v>
      </c>
    </row>
  </sheetData>
  <sheetProtection/>
  <mergeCells count="5">
    <mergeCell ref="D4:D5"/>
    <mergeCell ref="A1:D1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95" zoomScaleSheetLayoutView="95" zoomScalePageLayoutView="0" workbookViewId="0" topLeftCell="A1">
      <selection activeCell="D7" sqref="D7:D9"/>
    </sheetView>
  </sheetViews>
  <sheetFormatPr defaultColWidth="9.00390625" defaultRowHeight="12.75"/>
  <cols>
    <col min="1" max="1" width="4.625" style="1" customWidth="1"/>
    <col min="2" max="2" width="40.00390625" style="1" customWidth="1"/>
    <col min="3" max="3" width="22.00390625" style="1" customWidth="1"/>
    <col min="4" max="16384" width="9.125" style="1" customWidth="1"/>
  </cols>
  <sheetData>
    <row r="1" spans="1:4" ht="36.75" customHeight="1">
      <c r="A1" s="80" t="s">
        <v>20</v>
      </c>
      <c r="B1" s="80"/>
      <c r="C1" s="80"/>
      <c r="D1" s="80"/>
    </row>
    <row r="4" spans="1:4" ht="29.25" customHeight="1">
      <c r="A4" s="78" t="s">
        <v>29</v>
      </c>
      <c r="B4" s="78" t="s">
        <v>30</v>
      </c>
      <c r="C4" s="86" t="s">
        <v>24</v>
      </c>
      <c r="D4" s="78" t="s">
        <v>34</v>
      </c>
    </row>
    <row r="5" spans="1:4" ht="12.75">
      <c r="A5" s="79"/>
      <c r="B5" s="79"/>
      <c r="C5" s="87"/>
      <c r="D5" s="79"/>
    </row>
    <row r="6" spans="1:4" ht="12.75">
      <c r="A6" s="3">
        <v>1</v>
      </c>
      <c r="B6" s="3">
        <v>2</v>
      </c>
      <c r="C6" s="3">
        <v>3</v>
      </c>
      <c r="D6" s="3">
        <v>4</v>
      </c>
    </row>
    <row r="7" spans="1:4" ht="12.75">
      <c r="A7" s="2">
        <v>1</v>
      </c>
      <c r="B7" s="2" t="s">
        <v>32</v>
      </c>
      <c r="C7" s="17" t="s">
        <v>137</v>
      </c>
      <c r="D7" s="2">
        <f>IF(C7="да",5,0)</f>
        <v>0</v>
      </c>
    </row>
    <row r="8" spans="1:4" ht="12.75">
      <c r="A8" s="2">
        <v>2</v>
      </c>
      <c r="B8" s="2" t="s">
        <v>326</v>
      </c>
      <c r="C8" s="17" t="s">
        <v>137</v>
      </c>
      <c r="D8" s="2">
        <f>IF(C8="да",5,0)</f>
        <v>0</v>
      </c>
    </row>
    <row r="9" spans="1:4" ht="12.75">
      <c r="A9" s="2">
        <v>3</v>
      </c>
      <c r="B9" s="2" t="s">
        <v>33</v>
      </c>
      <c r="C9" s="17" t="s">
        <v>136</v>
      </c>
      <c r="D9" s="2">
        <f>IF(C9="да",5,0)</f>
        <v>5</v>
      </c>
    </row>
    <row r="10" spans="1:4" ht="12.75">
      <c r="A10" s="2"/>
      <c r="B10" s="2"/>
      <c r="C10" s="17"/>
      <c r="D10" s="2"/>
    </row>
    <row r="12" spans="2:4" ht="47.25">
      <c r="B12" s="11" t="s">
        <v>21</v>
      </c>
      <c r="C12" s="12"/>
      <c r="D12" s="13">
        <v>5</v>
      </c>
    </row>
    <row r="13" spans="2:4" ht="47.25">
      <c r="B13" s="11" t="s">
        <v>22</v>
      </c>
      <c r="C13" s="12"/>
      <c r="D13" s="13">
        <v>0</v>
      </c>
    </row>
  </sheetData>
  <sheetProtection/>
  <mergeCells count="5">
    <mergeCell ref="D4:D5"/>
    <mergeCell ref="A1:D1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95" zoomScaleSheetLayoutView="95" zoomScalePageLayoutView="0" workbookViewId="0" topLeftCell="A1">
      <selection activeCell="D7" sqref="D7:D9"/>
    </sheetView>
  </sheetViews>
  <sheetFormatPr defaultColWidth="9.00390625" defaultRowHeight="12.75"/>
  <cols>
    <col min="1" max="1" width="4.625" style="1" customWidth="1"/>
    <col min="2" max="2" width="40.125" style="1" bestFit="1" customWidth="1"/>
    <col min="3" max="3" width="27.125" style="1" customWidth="1"/>
    <col min="4" max="4" width="18.00390625" style="1" customWidth="1"/>
    <col min="5" max="5" width="13.375" style="1" customWidth="1"/>
    <col min="6" max="6" width="8.25390625" style="1" customWidth="1"/>
    <col min="7" max="16384" width="9.125" style="1" customWidth="1"/>
  </cols>
  <sheetData>
    <row r="1" spans="1:6" ht="30" customHeight="1">
      <c r="A1" s="80" t="s">
        <v>27</v>
      </c>
      <c r="B1" s="80"/>
      <c r="C1" s="80"/>
      <c r="D1" s="80"/>
      <c r="E1" s="80"/>
      <c r="F1" s="80"/>
    </row>
    <row r="4" spans="1:6" ht="80.25" customHeight="1">
      <c r="A4" s="78" t="s">
        <v>29</v>
      </c>
      <c r="B4" s="78" t="s">
        <v>30</v>
      </c>
      <c r="C4" s="78" t="s">
        <v>142</v>
      </c>
      <c r="D4" s="78" t="s">
        <v>25</v>
      </c>
      <c r="E4" s="4" t="s">
        <v>23</v>
      </c>
      <c r="F4" s="78" t="s">
        <v>34</v>
      </c>
    </row>
    <row r="5" spans="1:6" ht="12.75">
      <c r="A5" s="79"/>
      <c r="B5" s="79"/>
      <c r="C5" s="79"/>
      <c r="D5" s="79"/>
      <c r="E5" s="6" t="s">
        <v>61</v>
      </c>
      <c r="F5" s="79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>
        <v>0</v>
      </c>
      <c r="J6" s="15" t="s">
        <v>124</v>
      </c>
      <c r="K6" s="15" t="s">
        <v>102</v>
      </c>
      <c r="L6" s="15" t="s">
        <v>133</v>
      </c>
      <c r="M6" s="15" t="s">
        <v>134</v>
      </c>
      <c r="N6" s="15" t="s">
        <v>135</v>
      </c>
    </row>
    <row r="7" spans="1:14" ht="12.75">
      <c r="A7" s="2">
        <v>1</v>
      </c>
      <c r="B7" s="2" t="s">
        <v>32</v>
      </c>
      <c r="C7" s="27">
        <v>0</v>
      </c>
      <c r="D7" s="23">
        <v>121379604.93</v>
      </c>
      <c r="E7" s="5">
        <f>C7/D7*100</f>
        <v>0</v>
      </c>
      <c r="F7" s="2">
        <f>HLOOKUP(TRUE,I7:N8,2,FALSE)</f>
        <v>5</v>
      </c>
      <c r="I7" s="2" t="b">
        <f>AND(E7=0)</f>
        <v>1</v>
      </c>
      <c r="J7" s="2" t="b">
        <f>AND(E7&lt;=5,E7&gt;0)</f>
        <v>0</v>
      </c>
      <c r="K7" s="2" t="b">
        <f>AND(E7&lt;=10,E7&gt;5)</f>
        <v>0</v>
      </c>
      <c r="L7" s="2" t="b">
        <f>AND(E7&lt;=15,E7&gt;10)</f>
        <v>0</v>
      </c>
      <c r="M7" s="2" t="b">
        <f>AND(E7&lt;=20,E7&gt;15)</f>
        <v>0</v>
      </c>
      <c r="N7" s="2" t="b">
        <f>AND(E7&gt;20)</f>
        <v>0</v>
      </c>
    </row>
    <row r="8" spans="1:14" ht="12.75">
      <c r="A8" s="2">
        <v>2</v>
      </c>
      <c r="B8" s="2" t="s">
        <v>326</v>
      </c>
      <c r="C8" s="27">
        <v>0</v>
      </c>
      <c r="D8" s="23">
        <v>157841477.8</v>
      </c>
      <c r="E8" s="5">
        <f>C8/D8*100</f>
        <v>0</v>
      </c>
      <c r="F8" s="2">
        <f>HLOOKUP(TRUE,I9:N10,2,FALSE)</f>
        <v>5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27">
        <v>0</v>
      </c>
      <c r="D9" s="23">
        <v>148566726.83</v>
      </c>
      <c r="E9" s="5">
        <f>C9/D9*100</f>
        <v>0</v>
      </c>
      <c r="F9" s="2">
        <f>HLOOKUP(TRUE,I11:N12,2,FALSE)</f>
        <v>5</v>
      </c>
      <c r="I9" s="2" t="b">
        <f>AND(E8=0)</f>
        <v>1</v>
      </c>
      <c r="J9" s="2" t="b">
        <f>AND(E8&lt;=5,E8&gt;0)</f>
        <v>0</v>
      </c>
      <c r="K9" s="2" t="b">
        <f>AND(E8&lt;=10,E8&gt;5)</f>
        <v>0</v>
      </c>
      <c r="L9" s="2" t="b">
        <f>AND(E8&lt;=15,E8&gt;10)</f>
        <v>0</v>
      </c>
      <c r="M9" s="2" t="b">
        <f>AND(E8&lt;=20,E8&gt;15)</f>
        <v>0</v>
      </c>
      <c r="N9" s="2" t="b">
        <f>AND(E8&gt;20)</f>
        <v>0</v>
      </c>
    </row>
    <row r="10" spans="1:14" ht="12.75">
      <c r="A10" s="2"/>
      <c r="B10" s="2"/>
      <c r="C10" s="27"/>
      <c r="D10" s="23"/>
      <c r="E10" s="5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b">
        <f>AND(E9=0)</f>
        <v>1</v>
      </c>
      <c r="J11" s="2" t="b">
        <f>AND(E9&lt;=5,E9&gt;0)</f>
        <v>0</v>
      </c>
      <c r="K11" s="2" t="b">
        <f>AND(E9&lt;=10,E9&gt;5)</f>
        <v>0</v>
      </c>
      <c r="L11" s="2" t="b">
        <f>AND(E9&lt;=15,E9&gt;10)</f>
        <v>0</v>
      </c>
      <c r="M11" s="2" t="b">
        <f>AND(E9&lt;=20,E9&gt;15)</f>
        <v>0</v>
      </c>
      <c r="N11" s="2" t="b">
        <f>AND(E9&gt;20)</f>
        <v>0</v>
      </c>
    </row>
    <row r="12" spans="9:14" ht="12.75"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  <row r="13" ht="15.75">
      <c r="B13" s="9"/>
    </row>
    <row r="14" ht="15.75">
      <c r="B14" s="9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95" zoomScaleSheetLayoutView="95" zoomScalePageLayoutView="0" workbookViewId="0" topLeftCell="A1">
      <selection activeCell="D8" sqref="D8"/>
    </sheetView>
  </sheetViews>
  <sheetFormatPr defaultColWidth="9.00390625" defaultRowHeight="12.75"/>
  <cols>
    <col min="1" max="1" width="4.625" style="1" customWidth="1"/>
    <col min="2" max="2" width="40.125" style="1" bestFit="1" customWidth="1"/>
    <col min="3" max="3" width="37.25390625" style="1" customWidth="1"/>
    <col min="4" max="4" width="25.25390625" style="1" customWidth="1"/>
    <col min="5" max="5" width="22.00390625" style="1" customWidth="1"/>
    <col min="6" max="16384" width="9.125" style="1" customWidth="1"/>
  </cols>
  <sheetData>
    <row r="1" spans="1:6" ht="72" customHeight="1">
      <c r="A1" s="80" t="s">
        <v>85</v>
      </c>
      <c r="B1" s="80"/>
      <c r="C1" s="80"/>
      <c r="D1" s="80"/>
      <c r="E1" s="80"/>
      <c r="F1" s="80"/>
    </row>
    <row r="4" spans="1:6" ht="163.5" customHeight="1">
      <c r="A4" s="78" t="s">
        <v>29</v>
      </c>
      <c r="B4" s="78" t="s">
        <v>30</v>
      </c>
      <c r="C4" s="78" t="s">
        <v>155</v>
      </c>
      <c r="D4" s="78" t="s">
        <v>154</v>
      </c>
      <c r="E4" s="4" t="s">
        <v>26</v>
      </c>
      <c r="F4" s="78" t="s">
        <v>34</v>
      </c>
    </row>
    <row r="5" spans="1:6" ht="12.75">
      <c r="A5" s="79"/>
      <c r="B5" s="79"/>
      <c r="C5" s="79"/>
      <c r="D5" s="79"/>
      <c r="E5" s="6" t="s">
        <v>61</v>
      </c>
      <c r="F5" s="79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>
        <v>0</v>
      </c>
      <c r="J6" s="15" t="s">
        <v>138</v>
      </c>
    </row>
    <row r="7" spans="1:10" ht="12.75">
      <c r="A7" s="2">
        <v>1</v>
      </c>
      <c r="B7" s="2" t="s">
        <v>32</v>
      </c>
      <c r="C7" s="2">
        <v>0</v>
      </c>
      <c r="D7" s="2">
        <v>2</v>
      </c>
      <c r="E7" s="5">
        <f>C7/D7*100</f>
        <v>0</v>
      </c>
      <c r="F7" s="2">
        <f>HLOOKUP(TRUE,I7:J8,2,FALSE)</f>
        <v>5</v>
      </c>
      <c r="I7" s="2" t="b">
        <f>AND(E7=0)</f>
        <v>1</v>
      </c>
      <c r="J7" s="2" t="b">
        <f>AND(E7&gt;0)</f>
        <v>0</v>
      </c>
    </row>
    <row r="8" spans="1:10" ht="12.75">
      <c r="A8" s="2">
        <v>2</v>
      </c>
      <c r="B8" s="2" t="s">
        <v>326</v>
      </c>
      <c r="C8" s="2">
        <v>0</v>
      </c>
      <c r="D8" s="2">
        <v>9</v>
      </c>
      <c r="E8" s="5">
        <f>C8/D8*100</f>
        <v>0</v>
      </c>
      <c r="F8" s="2">
        <f>HLOOKUP(TRUE,I9:J10,2,FALSE)</f>
        <v>5</v>
      </c>
      <c r="I8" s="2">
        <v>5</v>
      </c>
      <c r="J8" s="2">
        <v>0</v>
      </c>
    </row>
    <row r="9" spans="1:10" ht="12.75">
      <c r="A9" s="2">
        <v>3</v>
      </c>
      <c r="B9" s="2" t="s">
        <v>33</v>
      </c>
      <c r="C9" s="2">
        <v>0</v>
      </c>
      <c r="D9" s="2">
        <v>0</v>
      </c>
      <c r="E9" s="5">
        <v>0</v>
      </c>
      <c r="F9" s="46" t="s">
        <v>259</v>
      </c>
      <c r="G9" s="1" t="s">
        <v>141</v>
      </c>
      <c r="I9" s="2" t="b">
        <f>AND(E8=0)</f>
        <v>1</v>
      </c>
      <c r="J9" s="2" t="b">
        <f>AND(E8&lt;=5,E8&gt;0)</f>
        <v>0</v>
      </c>
    </row>
    <row r="10" spans="1:10" ht="12.75">
      <c r="A10" s="2"/>
      <c r="B10" s="2"/>
      <c r="C10" s="2"/>
      <c r="D10" s="2"/>
      <c r="E10" s="5"/>
      <c r="F10" s="46"/>
      <c r="I10" s="2">
        <v>5</v>
      </c>
      <c r="J10" s="2">
        <v>0</v>
      </c>
    </row>
    <row r="11" spans="9:10" ht="12.75">
      <c r="I11" s="2" t="b">
        <f>AND(E9=0)</f>
        <v>1</v>
      </c>
      <c r="J11" s="2" t="b">
        <f>AND(E9&gt;0)</f>
        <v>0</v>
      </c>
    </row>
    <row r="12" spans="9:10" ht="12.75">
      <c r="I12" s="2">
        <v>5</v>
      </c>
      <c r="J12" s="2">
        <v>0</v>
      </c>
    </row>
    <row r="13" ht="15.75">
      <c r="B13" s="9"/>
    </row>
    <row r="14" ht="15.75">
      <c r="B14" s="9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22"/>
  <sheetViews>
    <sheetView tabSelected="1" view="pageBreakPreview" zoomScale="85" zoomScaleSheetLayoutView="85" zoomScalePageLayoutView="0" workbookViewId="0" topLeftCell="A1">
      <selection activeCell="B92" sqref="B92"/>
    </sheetView>
  </sheetViews>
  <sheetFormatPr defaultColWidth="9.00390625" defaultRowHeight="12.75"/>
  <cols>
    <col min="1" max="1" width="5.125" style="31" customWidth="1"/>
    <col min="2" max="2" width="146.375" style="31" customWidth="1"/>
    <col min="3" max="3" width="5.75390625" style="31" customWidth="1"/>
    <col min="4" max="4" width="10.625" style="31" customWidth="1"/>
    <col min="5" max="16384" width="9.125" style="31" customWidth="1"/>
  </cols>
  <sheetData>
    <row r="1" spans="2:4" ht="12.75" customHeight="1">
      <c r="B1" s="89" t="s">
        <v>191</v>
      </c>
      <c r="C1" s="89"/>
      <c r="D1" s="89"/>
    </row>
    <row r="2" spans="2:4" ht="12.75" customHeight="1">
      <c r="B2" s="89" t="s">
        <v>192</v>
      </c>
      <c r="C2" s="89"/>
      <c r="D2" s="89"/>
    </row>
    <row r="3" spans="2:4" ht="12.75" customHeight="1">
      <c r="B3" s="89" t="s">
        <v>188</v>
      </c>
      <c r="C3" s="89"/>
      <c r="D3" s="89"/>
    </row>
    <row r="4" spans="2:4" ht="15.75">
      <c r="B4" s="89" t="s">
        <v>193</v>
      </c>
      <c r="C4" s="89"/>
      <c r="D4" s="89"/>
    </row>
    <row r="5" spans="2:4" ht="15.75">
      <c r="B5" s="89" t="s">
        <v>190</v>
      </c>
      <c r="C5" s="89"/>
      <c r="D5" s="89"/>
    </row>
    <row r="7" spans="1:4" ht="12">
      <c r="A7" s="91" t="s">
        <v>184</v>
      </c>
      <c r="B7" s="91"/>
      <c r="C7" s="91"/>
      <c r="D7" s="91"/>
    </row>
    <row r="8" spans="1:4" ht="12.75" customHeight="1">
      <c r="A8" s="88" t="s">
        <v>183</v>
      </c>
      <c r="B8" s="91"/>
      <c r="C8" s="91"/>
      <c r="D8" s="91"/>
    </row>
    <row r="9" spans="1:4" ht="9.75" customHeight="1">
      <c r="A9" s="90" t="s">
        <v>156</v>
      </c>
      <c r="B9" s="90"/>
      <c r="C9" s="90"/>
      <c r="D9" s="90"/>
    </row>
    <row r="10" spans="1:4" ht="12">
      <c r="A10" s="92" t="s">
        <v>328</v>
      </c>
      <c r="B10" s="92"/>
      <c r="C10" s="92"/>
      <c r="D10" s="92"/>
    </row>
    <row r="11" spans="1:4" ht="9" customHeight="1">
      <c r="A11" s="90" t="s">
        <v>157</v>
      </c>
      <c r="B11" s="90"/>
      <c r="C11" s="90"/>
      <c r="D11" s="90"/>
    </row>
    <row r="13" spans="1:4" ht="64.5" customHeight="1">
      <c r="A13" s="37" t="s">
        <v>158</v>
      </c>
      <c r="B13" s="38" t="s">
        <v>161</v>
      </c>
      <c r="C13" s="37" t="s">
        <v>159</v>
      </c>
      <c r="D13" s="37" t="s">
        <v>182</v>
      </c>
    </row>
    <row r="14" spans="1:4" ht="12">
      <c r="A14" s="37">
        <v>1</v>
      </c>
      <c r="B14" s="37">
        <v>2</v>
      </c>
      <c r="C14" s="37">
        <v>3</v>
      </c>
      <c r="D14" s="37">
        <v>4</v>
      </c>
    </row>
    <row r="15" spans="1:4" ht="12">
      <c r="A15" s="33" t="s">
        <v>162</v>
      </c>
      <c r="B15" s="34" t="s">
        <v>28</v>
      </c>
      <c r="C15" s="32">
        <f>'Р1'!F7</f>
        <v>5</v>
      </c>
      <c r="D15" s="35">
        <f>('Р1'!F7+'Р1'!F8+'Р1'!F9)/3</f>
        <v>5</v>
      </c>
    </row>
    <row r="16" spans="1:4" ht="12">
      <c r="A16" s="33" t="s">
        <v>163</v>
      </c>
      <c r="B16" s="34" t="s">
        <v>37</v>
      </c>
      <c r="C16" s="32">
        <f>'Р2'!F7</f>
        <v>5</v>
      </c>
      <c r="D16" s="35">
        <f>('Р2'!F7+'Р2'!F8+'Р2'!F9)/3</f>
        <v>5</v>
      </c>
    </row>
    <row r="17" spans="1:4" ht="12">
      <c r="A17" s="33" t="s">
        <v>164</v>
      </c>
      <c r="B17" s="34" t="s">
        <v>41</v>
      </c>
      <c r="C17" s="32">
        <f>'Р3'!E7</f>
        <v>5</v>
      </c>
      <c r="D17" s="35">
        <f>('Р3'!E7+'Р3'!E9+'Р3'!E8)/3</f>
        <v>5</v>
      </c>
    </row>
    <row r="18" spans="1:4" ht="12">
      <c r="A18" s="33" t="s">
        <v>165</v>
      </c>
      <c r="B18" s="34" t="s">
        <v>43</v>
      </c>
      <c r="C18" s="32">
        <f>'Р4'!E7</f>
        <v>5</v>
      </c>
      <c r="D18" s="35">
        <f>('Р4'!E7+'Р4'!E8+'Р4'!E9)/3</f>
        <v>5</v>
      </c>
    </row>
    <row r="19" spans="1:4" ht="12">
      <c r="A19" s="33" t="s">
        <v>166</v>
      </c>
      <c r="B19" s="34" t="s">
        <v>48</v>
      </c>
      <c r="C19" s="32">
        <f>'Р5'!F7</f>
        <v>4</v>
      </c>
      <c r="D19" s="35">
        <v>2.3</v>
      </c>
    </row>
    <row r="20" spans="1:4" ht="36">
      <c r="A20" s="33" t="s">
        <v>167</v>
      </c>
      <c r="B20" s="34" t="s">
        <v>63</v>
      </c>
      <c r="C20" s="32">
        <f>'Р6'!F7</f>
        <v>5</v>
      </c>
      <c r="D20" s="35">
        <v>5</v>
      </c>
    </row>
    <row r="21" spans="1:4" ht="36">
      <c r="A21" s="33" t="s">
        <v>168</v>
      </c>
      <c r="B21" s="34" t="s">
        <v>64</v>
      </c>
      <c r="C21" s="32">
        <f>'Р7'!J7</f>
        <v>0</v>
      </c>
      <c r="D21" s="73">
        <f>('Р7'!J7+'Р7'!J8)/2</f>
        <v>0.5</v>
      </c>
    </row>
    <row r="22" spans="1:4" ht="12">
      <c r="A22" s="33" t="s">
        <v>243</v>
      </c>
      <c r="B22" s="34" t="s">
        <v>194</v>
      </c>
      <c r="C22" s="32">
        <f>'Р8'!H7</f>
        <v>0</v>
      </c>
      <c r="D22" s="73">
        <v>2.3</v>
      </c>
    </row>
    <row r="23" spans="1:4" ht="24">
      <c r="A23" s="33" t="s">
        <v>169</v>
      </c>
      <c r="B23" s="34" t="s">
        <v>65</v>
      </c>
      <c r="C23" s="32">
        <f>'Р9'!H7</f>
        <v>0</v>
      </c>
      <c r="D23" s="73">
        <f>('Р9'!H7+'Р9'!H8)/2</f>
        <v>1.5</v>
      </c>
    </row>
    <row r="24" spans="1:4" ht="12">
      <c r="A24" s="33" t="s">
        <v>170</v>
      </c>
      <c r="B24" s="34" t="s">
        <v>66</v>
      </c>
      <c r="C24" s="32">
        <f>'Р10'!F7</f>
        <v>5</v>
      </c>
      <c r="D24" s="73">
        <f>('Р10'!F7+'Р10'!F8+'Р10'!F9)/3</f>
        <v>4.333333333333333</v>
      </c>
    </row>
    <row r="25" spans="1:4" ht="24">
      <c r="A25" s="33" t="s">
        <v>244</v>
      </c>
      <c r="B25" s="34" t="s">
        <v>202</v>
      </c>
      <c r="C25" s="32" t="str">
        <f>'Р11'!F7</f>
        <v>норма</v>
      </c>
      <c r="D25" s="74" t="s">
        <v>80</v>
      </c>
    </row>
    <row r="26" spans="1:4" ht="24">
      <c r="A26" s="33" t="s">
        <v>245</v>
      </c>
      <c r="B26" s="34" t="s">
        <v>204</v>
      </c>
      <c r="C26" s="32" t="str">
        <f>'Р12'!F7</f>
        <v>норма</v>
      </c>
      <c r="D26" s="74" t="s">
        <v>80</v>
      </c>
    </row>
    <row r="27" spans="1:4" ht="12">
      <c r="A27" s="33" t="s">
        <v>171</v>
      </c>
      <c r="B27" s="34" t="s">
        <v>67</v>
      </c>
      <c r="C27" s="32">
        <f>'Р13'!F7</f>
        <v>5</v>
      </c>
      <c r="D27" s="73">
        <f>('Р13'!F7+'Р13'!F8+'Р13'!F9)/3</f>
        <v>4.333333333333333</v>
      </c>
    </row>
    <row r="28" spans="1:4" ht="12">
      <c r="A28" s="33" t="s">
        <v>246</v>
      </c>
      <c r="B28" s="34" t="s">
        <v>206</v>
      </c>
      <c r="C28" s="32">
        <f>'Р14'!F7</f>
        <v>5</v>
      </c>
      <c r="D28" s="73">
        <f>('Р14'!F7+'Р14'!F8+'Р14'!F9)/3</f>
        <v>5</v>
      </c>
    </row>
    <row r="29" spans="1:4" ht="24">
      <c r="A29" s="33" t="s">
        <v>247</v>
      </c>
      <c r="B29" s="34" t="s">
        <v>210</v>
      </c>
      <c r="C29" s="32">
        <f>'Р15'!F7</f>
        <v>5</v>
      </c>
      <c r="D29" s="73">
        <f>('Р15'!F7+'Р15'!F8)/2</f>
        <v>5</v>
      </c>
    </row>
    <row r="30" spans="1:4" ht="12">
      <c r="A30" s="33" t="s">
        <v>248</v>
      </c>
      <c r="B30" s="34" t="s">
        <v>252</v>
      </c>
      <c r="C30" s="32">
        <f>'Р16'!F7</f>
        <v>5</v>
      </c>
      <c r="D30" s="73">
        <f>('Р16'!F7+'Р16'!F8+'Р16'!F9)/3</f>
        <v>5</v>
      </c>
    </row>
    <row r="31" spans="1:4" ht="24">
      <c r="A31" s="33" t="s">
        <v>249</v>
      </c>
      <c r="B31" s="34" t="s">
        <v>253</v>
      </c>
      <c r="C31" s="32">
        <f>'Р17'!F7</f>
        <v>5</v>
      </c>
      <c r="D31" s="73">
        <f>('Р17'!F7+'Р17'!F8)/2</f>
        <v>5</v>
      </c>
    </row>
    <row r="32" spans="1:4" ht="12">
      <c r="A32" s="33" t="s">
        <v>250</v>
      </c>
      <c r="B32" s="34" t="s">
        <v>219</v>
      </c>
      <c r="C32" s="32">
        <f>'Р18'!H7</f>
        <v>5</v>
      </c>
      <c r="D32" s="73">
        <f>('Р18'!H7+'Р18'!H11)/2</f>
        <v>4</v>
      </c>
    </row>
    <row r="33" spans="1:4" ht="12">
      <c r="A33" s="33" t="s">
        <v>172</v>
      </c>
      <c r="B33" s="34" t="s">
        <v>0</v>
      </c>
      <c r="C33" s="32">
        <f>'Р19'!F7</f>
        <v>5</v>
      </c>
      <c r="D33" s="73">
        <f>('Р19'!F7+'Р19'!F8+'Р19'!F9)/3</f>
        <v>4.666666666666667</v>
      </c>
    </row>
    <row r="34" spans="1:4" ht="12">
      <c r="A34" s="33" t="s">
        <v>173</v>
      </c>
      <c r="B34" s="34" t="s">
        <v>3</v>
      </c>
      <c r="C34" s="32">
        <f>'Р20'!D7</f>
        <v>5</v>
      </c>
      <c r="D34" s="73">
        <f>('Р20'!D7+'Р20'!D8+'Р20'!D9)/3</f>
        <v>5</v>
      </c>
    </row>
    <row r="35" spans="1:4" ht="12">
      <c r="A35" s="33" t="s">
        <v>174</v>
      </c>
      <c r="B35" s="34" t="s">
        <v>6</v>
      </c>
      <c r="C35" s="32">
        <f>'Р21'!D7</f>
        <v>5</v>
      </c>
      <c r="D35" s="73">
        <f>('Р21'!D7+'Р21'!D8+'Р21'!D9)/3</f>
        <v>5</v>
      </c>
    </row>
    <row r="36" spans="1:4" ht="24">
      <c r="A36" s="33" t="s">
        <v>175</v>
      </c>
      <c r="B36" s="34" t="s">
        <v>8</v>
      </c>
      <c r="C36" s="32">
        <f>'Р22'!D7</f>
        <v>5</v>
      </c>
      <c r="D36" s="73">
        <f>('Р22'!D7+'Р22'!D8)/2</f>
        <v>5</v>
      </c>
    </row>
    <row r="37" spans="1:4" ht="12">
      <c r="A37" s="33" t="s">
        <v>176</v>
      </c>
      <c r="B37" s="34" t="s">
        <v>11</v>
      </c>
      <c r="C37" s="32">
        <f>'Р23'!F7</f>
        <v>5</v>
      </c>
      <c r="D37" s="73">
        <f>('Р23'!F7+'Р23'!F8+'Р23'!F9)/3</f>
        <v>5</v>
      </c>
    </row>
    <row r="38" spans="1:4" ht="12">
      <c r="A38" s="33" t="s">
        <v>177</v>
      </c>
      <c r="B38" s="34" t="s">
        <v>16</v>
      </c>
      <c r="C38" s="32">
        <f>'Р23'!F8</f>
        <v>5</v>
      </c>
      <c r="D38" s="73">
        <f>('Р23'!F8+'Р23'!F9+'Р23'!F10)/3</f>
        <v>3.3333333333333335</v>
      </c>
    </row>
    <row r="39" spans="1:4" ht="12">
      <c r="A39" s="33" t="s">
        <v>178</v>
      </c>
      <c r="B39" s="34" t="s">
        <v>83</v>
      </c>
      <c r="C39" s="32">
        <f>'Р25'!D7</f>
        <v>5</v>
      </c>
      <c r="D39" s="73">
        <f>('Р25'!D7+'Р25'!D8+'Р25'!D9)/3</f>
        <v>5</v>
      </c>
    </row>
    <row r="40" spans="1:4" ht="12">
      <c r="A40" s="33" t="s">
        <v>179</v>
      </c>
      <c r="B40" s="34" t="s">
        <v>20</v>
      </c>
      <c r="C40" s="32">
        <f>'Р26'!D7</f>
        <v>0</v>
      </c>
      <c r="D40" s="73">
        <v>1.7</v>
      </c>
    </row>
    <row r="41" spans="1:4" ht="12">
      <c r="A41" s="33" t="s">
        <v>180</v>
      </c>
      <c r="B41" s="34" t="s">
        <v>27</v>
      </c>
      <c r="C41" s="32">
        <f>'Р27'!F7</f>
        <v>5</v>
      </c>
      <c r="D41" s="73">
        <f>('Р27'!F7+'Р27'!F8+'Р27'!F9)/3</f>
        <v>5</v>
      </c>
    </row>
    <row r="42" spans="1:4" ht="36">
      <c r="A42" s="33" t="s">
        <v>181</v>
      </c>
      <c r="B42" s="34" t="s">
        <v>85</v>
      </c>
      <c r="C42" s="32">
        <f>'Р28'!F7</f>
        <v>5</v>
      </c>
      <c r="D42" s="73">
        <f>('Р28'!F7+'Р28'!F8)/2</f>
        <v>5</v>
      </c>
    </row>
    <row r="43" spans="1:4" ht="24">
      <c r="A43" s="33" t="s">
        <v>160</v>
      </c>
      <c r="B43" s="34"/>
      <c r="C43" s="32">
        <f>SUM(C15:C42)</f>
        <v>109</v>
      </c>
      <c r="D43" s="36">
        <v>108.9</v>
      </c>
    </row>
    <row r="46" spans="1:4" ht="12">
      <c r="A46" s="91" t="s">
        <v>184</v>
      </c>
      <c r="B46" s="91"/>
      <c r="C46" s="91"/>
      <c r="D46" s="91"/>
    </row>
    <row r="47" spans="1:4" ht="12">
      <c r="A47" s="30"/>
      <c r="B47" s="88" t="s">
        <v>326</v>
      </c>
      <c r="C47" s="88"/>
      <c r="D47" s="88"/>
    </row>
    <row r="48" spans="1:4" ht="12">
      <c r="A48" s="90" t="s">
        <v>156</v>
      </c>
      <c r="B48" s="90"/>
      <c r="C48" s="90"/>
      <c r="D48" s="90"/>
    </row>
    <row r="49" spans="1:4" ht="12">
      <c r="A49" s="92" t="s">
        <v>328</v>
      </c>
      <c r="B49" s="92"/>
      <c r="C49" s="92"/>
      <c r="D49" s="92"/>
    </row>
    <row r="50" spans="1:4" ht="12">
      <c r="A50" s="90" t="s">
        <v>157</v>
      </c>
      <c r="B50" s="90"/>
      <c r="C50" s="90"/>
      <c r="D50" s="90"/>
    </row>
    <row r="52" spans="1:4" ht="60">
      <c r="A52" s="37" t="s">
        <v>158</v>
      </c>
      <c r="B52" s="38" t="s">
        <v>161</v>
      </c>
      <c r="C52" s="37" t="s">
        <v>159</v>
      </c>
      <c r="D52" s="37" t="s">
        <v>182</v>
      </c>
    </row>
    <row r="53" spans="1:4" ht="12">
      <c r="A53" s="37">
        <v>1</v>
      </c>
      <c r="B53" s="37">
        <v>2</v>
      </c>
      <c r="C53" s="37">
        <v>3</v>
      </c>
      <c r="D53" s="37">
        <v>4</v>
      </c>
    </row>
    <row r="54" spans="1:4" ht="12">
      <c r="A54" s="33" t="s">
        <v>162</v>
      </c>
      <c r="B54" s="34" t="s">
        <v>28</v>
      </c>
      <c r="C54" s="32">
        <f>'Р1'!F8</f>
        <v>5</v>
      </c>
      <c r="D54" s="35">
        <v>5</v>
      </c>
    </row>
    <row r="55" spans="1:4" ht="12">
      <c r="A55" s="33" t="s">
        <v>163</v>
      </c>
      <c r="B55" s="34" t="s">
        <v>37</v>
      </c>
      <c r="C55" s="32">
        <f>'Р2'!F8</f>
        <v>5</v>
      </c>
      <c r="D55" s="35">
        <v>5</v>
      </c>
    </row>
    <row r="56" spans="1:4" ht="12">
      <c r="A56" s="33" t="s">
        <v>164</v>
      </c>
      <c r="B56" s="34" t="s">
        <v>41</v>
      </c>
      <c r="C56" s="32">
        <f>'Р3'!E8</f>
        <v>5</v>
      </c>
      <c r="D56" s="35">
        <v>5</v>
      </c>
    </row>
    <row r="57" spans="1:4" ht="12">
      <c r="A57" s="33" t="s">
        <v>165</v>
      </c>
      <c r="B57" s="34" t="s">
        <v>43</v>
      </c>
      <c r="C57" s="32">
        <f>'Р4'!E8</f>
        <v>5</v>
      </c>
      <c r="D57" s="35">
        <v>5</v>
      </c>
    </row>
    <row r="58" spans="1:4" ht="12">
      <c r="A58" s="33" t="s">
        <v>166</v>
      </c>
      <c r="B58" s="34" t="s">
        <v>48</v>
      </c>
      <c r="C58" s="32">
        <f>'Р5'!F8</f>
        <v>0</v>
      </c>
      <c r="D58" s="35">
        <v>2.3</v>
      </c>
    </row>
    <row r="59" spans="1:4" ht="36">
      <c r="A59" s="33" t="s">
        <v>167</v>
      </c>
      <c r="B59" s="34" t="s">
        <v>63</v>
      </c>
      <c r="C59" s="32">
        <f>'Р6'!F8</f>
        <v>5</v>
      </c>
      <c r="D59" s="35">
        <v>5</v>
      </c>
    </row>
    <row r="60" spans="1:4" ht="36">
      <c r="A60" s="33" t="s">
        <v>168</v>
      </c>
      <c r="B60" s="34" t="s">
        <v>64</v>
      </c>
      <c r="C60" s="32">
        <f>'Р7'!J8</f>
        <v>1</v>
      </c>
      <c r="D60" s="73">
        <v>0.5</v>
      </c>
    </row>
    <row r="61" spans="1:4" ht="12">
      <c r="A61" s="33" t="s">
        <v>243</v>
      </c>
      <c r="B61" s="34" t="s">
        <v>194</v>
      </c>
      <c r="C61" s="32">
        <f>'Р8'!H8</f>
        <v>3</v>
      </c>
      <c r="D61" s="73">
        <v>2.3</v>
      </c>
    </row>
    <row r="62" spans="1:4" ht="24">
      <c r="A62" s="33" t="s">
        <v>169</v>
      </c>
      <c r="B62" s="34" t="s">
        <v>65</v>
      </c>
      <c r="C62" s="32">
        <f>'Р9'!H8</f>
        <v>3</v>
      </c>
      <c r="D62" s="73">
        <v>2</v>
      </c>
    </row>
    <row r="63" spans="1:4" ht="12">
      <c r="A63" s="33" t="s">
        <v>170</v>
      </c>
      <c r="B63" s="34" t="s">
        <v>66</v>
      </c>
      <c r="C63" s="32">
        <v>5</v>
      </c>
      <c r="D63" s="73">
        <v>5</v>
      </c>
    </row>
    <row r="64" spans="1:4" ht="24">
      <c r="A64" s="33" t="s">
        <v>244</v>
      </c>
      <c r="B64" s="34" t="s">
        <v>202</v>
      </c>
      <c r="C64" s="32" t="str">
        <f>'Р11'!F8</f>
        <v>норма</v>
      </c>
      <c r="D64" s="74" t="s">
        <v>80</v>
      </c>
    </row>
    <row r="65" spans="1:4" ht="24">
      <c r="A65" s="33" t="s">
        <v>245</v>
      </c>
      <c r="B65" s="34" t="s">
        <v>204</v>
      </c>
      <c r="C65" s="32" t="str">
        <f>'Р12'!F8</f>
        <v>норма</v>
      </c>
      <c r="D65" s="74" t="s">
        <v>80</v>
      </c>
    </row>
    <row r="66" spans="1:4" ht="12">
      <c r="A66" s="33" t="s">
        <v>171</v>
      </c>
      <c r="B66" s="34" t="s">
        <v>67</v>
      </c>
      <c r="C66" s="32">
        <f>'Р13'!F8</f>
        <v>5</v>
      </c>
      <c r="D66" s="73">
        <v>5</v>
      </c>
    </row>
    <row r="67" spans="1:4" ht="12">
      <c r="A67" s="33" t="s">
        <v>246</v>
      </c>
      <c r="B67" s="34" t="s">
        <v>206</v>
      </c>
      <c r="C67" s="32">
        <f>'Р14'!F8</f>
        <v>5</v>
      </c>
      <c r="D67" s="73">
        <v>5</v>
      </c>
    </row>
    <row r="68" spans="1:4" ht="24">
      <c r="A68" s="33" t="s">
        <v>247</v>
      </c>
      <c r="B68" s="34" t="s">
        <v>210</v>
      </c>
      <c r="C68" s="32">
        <f>'Р15'!F8</f>
        <v>5</v>
      </c>
      <c r="D68" s="73">
        <v>5</v>
      </c>
    </row>
    <row r="69" spans="1:4" ht="12">
      <c r="A69" s="33" t="s">
        <v>248</v>
      </c>
      <c r="B69" s="34" t="s">
        <v>252</v>
      </c>
      <c r="C69" s="32">
        <f>'Р16'!F8</f>
        <v>5</v>
      </c>
      <c r="D69" s="73">
        <v>5</v>
      </c>
    </row>
    <row r="70" spans="1:4" ht="24">
      <c r="A70" s="33" t="s">
        <v>249</v>
      </c>
      <c r="B70" s="34" t="s">
        <v>253</v>
      </c>
      <c r="C70" s="32">
        <f>'Р17'!F8</f>
        <v>5</v>
      </c>
      <c r="D70" s="73">
        <v>5</v>
      </c>
    </row>
    <row r="71" spans="1:4" ht="12">
      <c r="A71" s="33" t="s">
        <v>250</v>
      </c>
      <c r="B71" s="34" t="s">
        <v>219</v>
      </c>
      <c r="C71" s="32">
        <f>'Р18'!H11</f>
        <v>3</v>
      </c>
      <c r="D71" s="73">
        <v>5</v>
      </c>
    </row>
    <row r="72" spans="1:4" ht="12">
      <c r="A72" s="33" t="s">
        <v>172</v>
      </c>
      <c r="B72" s="34" t="s">
        <v>0</v>
      </c>
      <c r="C72" s="32">
        <f>'Р19'!F8</f>
        <v>4</v>
      </c>
      <c r="D72" s="73">
        <v>4.3</v>
      </c>
    </row>
    <row r="73" spans="1:4" ht="12">
      <c r="A73" s="33" t="s">
        <v>173</v>
      </c>
      <c r="B73" s="34" t="s">
        <v>3</v>
      </c>
      <c r="C73" s="32">
        <f>'Р20'!D8</f>
        <v>5</v>
      </c>
      <c r="D73" s="73">
        <v>5</v>
      </c>
    </row>
    <row r="74" spans="1:4" ht="12">
      <c r="A74" s="33" t="s">
        <v>174</v>
      </c>
      <c r="B74" s="34" t="s">
        <v>6</v>
      </c>
      <c r="C74" s="32">
        <f>'Р21'!D8</f>
        <v>5</v>
      </c>
      <c r="D74" s="73">
        <v>5</v>
      </c>
    </row>
    <row r="75" spans="1:4" ht="24">
      <c r="A75" s="33" t="s">
        <v>175</v>
      </c>
      <c r="B75" s="34" t="s">
        <v>8</v>
      </c>
      <c r="C75" s="32">
        <f>'Р22'!D8</f>
        <v>5</v>
      </c>
      <c r="D75" s="73">
        <v>5</v>
      </c>
    </row>
    <row r="76" spans="1:4" ht="12">
      <c r="A76" s="33" t="s">
        <v>176</v>
      </c>
      <c r="B76" s="34" t="s">
        <v>11</v>
      </c>
      <c r="C76" s="32">
        <f>'Р23'!F8</f>
        <v>5</v>
      </c>
      <c r="D76" s="73">
        <v>5</v>
      </c>
    </row>
    <row r="77" spans="1:4" ht="12">
      <c r="A77" s="33" t="s">
        <v>177</v>
      </c>
      <c r="B77" s="34" t="s">
        <v>16</v>
      </c>
      <c r="C77" s="32">
        <f>'Р24'!F8</f>
        <v>0</v>
      </c>
      <c r="D77" s="73">
        <v>1.7</v>
      </c>
    </row>
    <row r="78" spans="1:4" ht="12">
      <c r="A78" s="33" t="s">
        <v>178</v>
      </c>
      <c r="B78" s="34" t="s">
        <v>83</v>
      </c>
      <c r="C78" s="32">
        <f>'Р25'!D8</f>
        <v>5</v>
      </c>
      <c r="D78" s="73">
        <v>5</v>
      </c>
    </row>
    <row r="79" spans="1:4" ht="12">
      <c r="A79" s="33" t="s">
        <v>179</v>
      </c>
      <c r="B79" s="34" t="s">
        <v>20</v>
      </c>
      <c r="C79" s="32">
        <f>'Р26'!D8</f>
        <v>0</v>
      </c>
      <c r="D79" s="73">
        <v>1.7</v>
      </c>
    </row>
    <row r="80" spans="1:4" ht="12">
      <c r="A80" s="33" t="s">
        <v>180</v>
      </c>
      <c r="B80" s="34" t="s">
        <v>27</v>
      </c>
      <c r="C80" s="32">
        <f>'Р27'!F8</f>
        <v>5</v>
      </c>
      <c r="D80" s="73">
        <v>5</v>
      </c>
    </row>
    <row r="81" spans="1:4" ht="36">
      <c r="A81" s="33" t="s">
        <v>181</v>
      </c>
      <c r="B81" s="34" t="s">
        <v>85</v>
      </c>
      <c r="C81" s="32">
        <f>'Р28'!F8</f>
        <v>5</v>
      </c>
      <c r="D81" s="73">
        <v>5</v>
      </c>
    </row>
    <row r="82" spans="1:4" ht="24">
      <c r="A82" s="33" t="s">
        <v>160</v>
      </c>
      <c r="B82" s="34"/>
      <c r="C82" s="32">
        <f>SUM(C54:C81)</f>
        <v>104</v>
      </c>
      <c r="D82" s="36">
        <f>D54+D55+D56+D57+D58+D59+D60+D61+D62+D63+D66+D67+D68+D69+D70+D71+D72+D73+D74+D75+D76+D77+D78+D79+D81+D80</f>
        <v>109.8</v>
      </c>
    </row>
    <row r="86" spans="1:4" ht="12">
      <c r="A86" s="91" t="s">
        <v>184</v>
      </c>
      <c r="B86" s="91"/>
      <c r="C86" s="91"/>
      <c r="D86" s="91"/>
    </row>
    <row r="87" spans="1:4" ht="12.75" customHeight="1">
      <c r="A87" s="88" t="s">
        <v>185</v>
      </c>
      <c r="B87" s="88"/>
      <c r="C87" s="88"/>
      <c r="D87" s="88"/>
    </row>
    <row r="88" spans="1:4" ht="12">
      <c r="A88" s="90" t="s">
        <v>156</v>
      </c>
      <c r="B88" s="90"/>
      <c r="C88" s="90"/>
      <c r="D88" s="90"/>
    </row>
    <row r="89" spans="1:4" ht="12">
      <c r="A89" s="92" t="s">
        <v>328</v>
      </c>
      <c r="B89" s="92"/>
      <c r="C89" s="92"/>
      <c r="D89" s="92"/>
    </row>
    <row r="90" spans="1:4" ht="12">
      <c r="A90" s="90" t="s">
        <v>157</v>
      </c>
      <c r="B90" s="90"/>
      <c r="C90" s="90"/>
      <c r="D90" s="90"/>
    </row>
    <row r="92" spans="1:4" ht="65.25" customHeight="1">
      <c r="A92" s="37" t="s">
        <v>158</v>
      </c>
      <c r="B92" s="38" t="s">
        <v>161</v>
      </c>
      <c r="C92" s="37" t="s">
        <v>159</v>
      </c>
      <c r="D92" s="37" t="s">
        <v>182</v>
      </c>
    </row>
    <row r="93" spans="1:4" ht="12">
      <c r="A93" s="37">
        <v>1</v>
      </c>
      <c r="B93" s="37">
        <v>2</v>
      </c>
      <c r="C93" s="37">
        <v>3</v>
      </c>
      <c r="D93" s="37">
        <v>4</v>
      </c>
    </row>
    <row r="94" spans="1:4" ht="12">
      <c r="A94" s="33" t="s">
        <v>162</v>
      </c>
      <c r="B94" s="34" t="s">
        <v>28</v>
      </c>
      <c r="C94" s="32">
        <f>'Р1'!F9</f>
        <v>5</v>
      </c>
      <c r="D94" s="35">
        <v>5</v>
      </c>
    </row>
    <row r="95" spans="1:4" ht="12">
      <c r="A95" s="33" t="s">
        <v>163</v>
      </c>
      <c r="B95" s="34" t="s">
        <v>37</v>
      </c>
      <c r="C95" s="32">
        <f>'Р2'!F9</f>
        <v>5</v>
      </c>
      <c r="D95" s="35">
        <v>5</v>
      </c>
    </row>
    <row r="96" spans="1:4" ht="12">
      <c r="A96" s="33" t="s">
        <v>164</v>
      </c>
      <c r="B96" s="34" t="s">
        <v>41</v>
      </c>
      <c r="C96" s="32">
        <f>'Р3'!E9</f>
        <v>5</v>
      </c>
      <c r="D96" s="35">
        <v>5</v>
      </c>
    </row>
    <row r="97" spans="1:4" ht="12">
      <c r="A97" s="33" t="s">
        <v>165</v>
      </c>
      <c r="B97" s="34" t="s">
        <v>43</v>
      </c>
      <c r="C97" s="32">
        <f>'Р4'!E9</f>
        <v>5</v>
      </c>
      <c r="D97" s="35">
        <v>5</v>
      </c>
    </row>
    <row r="98" spans="1:4" ht="12">
      <c r="A98" s="33" t="s">
        <v>166</v>
      </c>
      <c r="B98" s="34" t="s">
        <v>48</v>
      </c>
      <c r="C98" s="32">
        <f>'Р5'!F9</f>
        <v>0</v>
      </c>
      <c r="D98" s="35">
        <v>2.3</v>
      </c>
    </row>
    <row r="99" spans="1:4" ht="36">
      <c r="A99" s="33" t="s">
        <v>167</v>
      </c>
      <c r="B99" s="34" t="s">
        <v>63</v>
      </c>
      <c r="C99" s="32">
        <f>'Р6'!F9</f>
        <v>5</v>
      </c>
      <c r="D99" s="35">
        <v>5</v>
      </c>
    </row>
    <row r="100" spans="1:4" ht="36">
      <c r="A100" s="33" t="s">
        <v>168</v>
      </c>
      <c r="B100" s="34" t="s">
        <v>64</v>
      </c>
      <c r="C100" s="32" t="str">
        <f>'Р7'!J9</f>
        <v>Х</v>
      </c>
      <c r="D100" s="73">
        <v>0.5</v>
      </c>
    </row>
    <row r="101" spans="1:4" ht="12">
      <c r="A101" s="33" t="s">
        <v>243</v>
      </c>
      <c r="B101" s="34" t="s">
        <v>194</v>
      </c>
      <c r="C101" s="32">
        <f>'Р8'!H9</f>
        <v>4</v>
      </c>
      <c r="D101" s="73">
        <v>2.3</v>
      </c>
    </row>
    <row r="102" spans="1:4" ht="24">
      <c r="A102" s="33" t="s">
        <v>169</v>
      </c>
      <c r="B102" s="34" t="s">
        <v>65</v>
      </c>
      <c r="C102" s="32" t="str">
        <f>'Р9'!H9</f>
        <v>Х</v>
      </c>
      <c r="D102" s="73">
        <v>2</v>
      </c>
    </row>
    <row r="103" spans="1:4" ht="12">
      <c r="A103" s="33" t="s">
        <v>170</v>
      </c>
      <c r="B103" s="34" t="s">
        <v>66</v>
      </c>
      <c r="C103" s="32">
        <f>'Р10'!F9</f>
        <v>5</v>
      </c>
      <c r="D103" s="73">
        <v>5</v>
      </c>
    </row>
    <row r="104" spans="1:4" ht="24">
      <c r="A104" s="33" t="s">
        <v>244</v>
      </c>
      <c r="B104" s="34" t="s">
        <v>202</v>
      </c>
      <c r="C104" s="32" t="str">
        <f>'Р11'!F9</f>
        <v>норма</v>
      </c>
      <c r="D104" s="74" t="s">
        <v>80</v>
      </c>
    </row>
    <row r="105" spans="1:4" ht="24">
      <c r="A105" s="33" t="s">
        <v>245</v>
      </c>
      <c r="B105" s="34" t="s">
        <v>204</v>
      </c>
      <c r="C105" s="32" t="str">
        <f>'Р12'!F9</f>
        <v>Х</v>
      </c>
      <c r="D105" s="74" t="s">
        <v>80</v>
      </c>
    </row>
    <row r="106" spans="1:4" ht="12">
      <c r="A106" s="33" t="s">
        <v>171</v>
      </c>
      <c r="B106" s="34" t="s">
        <v>67</v>
      </c>
      <c r="C106" s="32">
        <f>'Р13'!F9</f>
        <v>3</v>
      </c>
      <c r="D106" s="73">
        <v>5</v>
      </c>
    </row>
    <row r="107" spans="1:4" ht="12">
      <c r="A107" s="33" t="s">
        <v>246</v>
      </c>
      <c r="B107" s="34" t="s">
        <v>206</v>
      </c>
      <c r="C107" s="32">
        <f>'Р14'!F9</f>
        <v>5</v>
      </c>
      <c r="D107" s="73">
        <v>5</v>
      </c>
    </row>
    <row r="108" spans="1:4" ht="24">
      <c r="A108" s="33" t="s">
        <v>247</v>
      </c>
      <c r="B108" s="34" t="s">
        <v>210</v>
      </c>
      <c r="C108" s="32" t="str">
        <f>'Р15'!F9</f>
        <v>Х</v>
      </c>
      <c r="D108" s="73">
        <v>5</v>
      </c>
    </row>
    <row r="109" spans="1:4" ht="12">
      <c r="A109" s="33" t="s">
        <v>248</v>
      </c>
      <c r="B109" s="34" t="s">
        <v>252</v>
      </c>
      <c r="C109" s="32">
        <f>'Р16'!F9</f>
        <v>5</v>
      </c>
      <c r="D109" s="73">
        <v>5</v>
      </c>
    </row>
    <row r="110" spans="1:4" ht="24">
      <c r="A110" s="33" t="s">
        <v>249</v>
      </c>
      <c r="B110" s="34" t="s">
        <v>253</v>
      </c>
      <c r="C110" s="32" t="str">
        <f>'Р17'!F9</f>
        <v>Х</v>
      </c>
      <c r="D110" s="73">
        <v>5</v>
      </c>
    </row>
    <row r="111" spans="1:4" ht="12">
      <c r="A111" s="33" t="s">
        <v>250</v>
      </c>
      <c r="B111" s="34" t="s">
        <v>219</v>
      </c>
      <c r="C111" s="32" t="str">
        <f>'Р18'!H15</f>
        <v>Х</v>
      </c>
      <c r="D111" s="73">
        <v>5</v>
      </c>
    </row>
    <row r="112" spans="1:4" ht="12">
      <c r="A112" s="33" t="s">
        <v>172</v>
      </c>
      <c r="B112" s="34" t="s">
        <v>0</v>
      </c>
      <c r="C112" s="32">
        <f>'Р19'!F9</f>
        <v>5</v>
      </c>
      <c r="D112" s="73">
        <v>4.3</v>
      </c>
    </row>
    <row r="113" spans="1:4" ht="12">
      <c r="A113" s="33" t="s">
        <v>173</v>
      </c>
      <c r="B113" s="34" t="s">
        <v>3</v>
      </c>
      <c r="C113" s="32">
        <f>'Р20'!D9</f>
        <v>5</v>
      </c>
      <c r="D113" s="73">
        <v>5</v>
      </c>
    </row>
    <row r="114" spans="1:4" ht="12">
      <c r="A114" s="33" t="s">
        <v>174</v>
      </c>
      <c r="B114" s="34" t="s">
        <v>6</v>
      </c>
      <c r="C114" s="32">
        <f>'Р21'!D9</f>
        <v>5</v>
      </c>
      <c r="D114" s="73">
        <v>5</v>
      </c>
    </row>
    <row r="115" spans="1:4" ht="24">
      <c r="A115" s="33" t="s">
        <v>175</v>
      </c>
      <c r="B115" s="34" t="s">
        <v>8</v>
      </c>
      <c r="C115" s="32" t="str">
        <f>'Р22'!D9</f>
        <v>Х</v>
      </c>
      <c r="D115" s="73">
        <v>5</v>
      </c>
    </row>
    <row r="116" spans="1:4" ht="12">
      <c r="A116" s="33" t="s">
        <v>176</v>
      </c>
      <c r="B116" s="34" t="s">
        <v>11</v>
      </c>
      <c r="C116" s="32">
        <f>'Р23'!F9</f>
        <v>5</v>
      </c>
      <c r="D116" s="73">
        <v>5</v>
      </c>
    </row>
    <row r="117" spans="1:4" ht="12">
      <c r="A117" s="33" t="s">
        <v>177</v>
      </c>
      <c r="B117" s="34" t="s">
        <v>16</v>
      </c>
      <c r="C117" s="32">
        <f>'Р24'!F9</f>
        <v>5</v>
      </c>
      <c r="D117" s="73">
        <v>1.7</v>
      </c>
    </row>
    <row r="118" spans="1:4" ht="12">
      <c r="A118" s="33" t="s">
        <v>178</v>
      </c>
      <c r="B118" s="34" t="s">
        <v>83</v>
      </c>
      <c r="C118" s="32">
        <f>'Р25'!D9</f>
        <v>5</v>
      </c>
      <c r="D118" s="73">
        <v>5</v>
      </c>
    </row>
    <row r="119" spans="1:4" ht="12">
      <c r="A119" s="33" t="s">
        <v>179</v>
      </c>
      <c r="B119" s="34" t="s">
        <v>20</v>
      </c>
      <c r="C119" s="32">
        <f>'Р26'!D9</f>
        <v>5</v>
      </c>
      <c r="D119" s="73">
        <v>1.7</v>
      </c>
    </row>
    <row r="120" spans="1:4" ht="12">
      <c r="A120" s="33" t="s">
        <v>180</v>
      </c>
      <c r="B120" s="34" t="s">
        <v>27</v>
      </c>
      <c r="C120" s="32">
        <f>'Р27'!F9</f>
        <v>5</v>
      </c>
      <c r="D120" s="73">
        <v>5</v>
      </c>
    </row>
    <row r="121" spans="1:4" ht="36">
      <c r="A121" s="33" t="s">
        <v>181</v>
      </c>
      <c r="B121" s="34" t="s">
        <v>85</v>
      </c>
      <c r="C121" s="32" t="str">
        <f>'Р28'!F9</f>
        <v>Х</v>
      </c>
      <c r="D121" s="73">
        <v>5</v>
      </c>
    </row>
    <row r="122" spans="1:4" ht="24">
      <c r="A122" s="33" t="s">
        <v>160</v>
      </c>
      <c r="B122" s="34"/>
      <c r="C122" s="32">
        <f>SUM(C94:C121)</f>
        <v>87</v>
      </c>
      <c r="D122" s="36">
        <f>D94+D95+D96+D97+D98+D99+D100+D101+D102+D103+D106+D107+D108+D109+D110+D111+D112+D113+D114+D115+D116+D117+D118+D119+D120+D121</f>
        <v>109.8</v>
      </c>
    </row>
  </sheetData>
  <sheetProtection/>
  <mergeCells count="20">
    <mergeCell ref="A90:D90"/>
    <mergeCell ref="A89:D89"/>
    <mergeCell ref="B47:D47"/>
    <mergeCell ref="A88:D88"/>
    <mergeCell ref="A86:D86"/>
    <mergeCell ref="A11:D11"/>
    <mergeCell ref="A50:D50"/>
    <mergeCell ref="A49:D49"/>
    <mergeCell ref="A48:D48"/>
    <mergeCell ref="A46:D46"/>
    <mergeCell ref="A87:D87"/>
    <mergeCell ref="B1:D1"/>
    <mergeCell ref="B4:D4"/>
    <mergeCell ref="B5:D5"/>
    <mergeCell ref="A9:D9"/>
    <mergeCell ref="A7:D7"/>
    <mergeCell ref="B3:D3"/>
    <mergeCell ref="B2:D2"/>
    <mergeCell ref="A8:D8"/>
    <mergeCell ref="A10:D10"/>
  </mergeCells>
  <printOptions/>
  <pageMargins left="0.18" right="0.16" top="0.2" bottom="0.15" header="0.16" footer="0.15"/>
  <pageSetup fitToHeight="2" fitToWidth="2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="95" zoomScaleSheetLayoutView="95" zoomScalePageLayoutView="0" workbookViewId="0" topLeftCell="A1">
      <selection activeCell="B8" sqref="B8"/>
    </sheetView>
  </sheetViews>
  <sheetFormatPr defaultColWidth="9.00390625" defaultRowHeight="12.75"/>
  <cols>
    <col min="1" max="1" width="4.625" style="1" customWidth="1"/>
    <col min="2" max="2" width="45.75390625" style="1" customWidth="1"/>
    <col min="3" max="3" width="47.125" style="1" customWidth="1"/>
    <col min="4" max="4" width="16.375" style="1" customWidth="1"/>
    <col min="5" max="5" width="9.625" style="1" customWidth="1"/>
    <col min="6" max="10" width="9.125" style="1" customWidth="1"/>
    <col min="11" max="14" width="9.125" style="14" customWidth="1"/>
    <col min="15" max="16384" width="9.125" style="1" customWidth="1"/>
  </cols>
  <sheetData>
    <row r="1" spans="1:5" ht="34.5" customHeight="1">
      <c r="A1" s="80" t="s">
        <v>41</v>
      </c>
      <c r="B1" s="80"/>
      <c r="C1" s="80"/>
      <c r="D1" s="80"/>
      <c r="E1" s="80"/>
    </row>
    <row r="4" spans="1:5" ht="83.25" customHeight="1">
      <c r="A4" s="81" t="s">
        <v>29</v>
      </c>
      <c r="B4" s="81" t="s">
        <v>30</v>
      </c>
      <c r="C4" s="81" t="s">
        <v>324</v>
      </c>
      <c r="D4" s="4" t="s">
        <v>45</v>
      </c>
      <c r="E4" s="81" t="s">
        <v>34</v>
      </c>
    </row>
    <row r="5" spans="1:5" ht="12.75">
      <c r="A5" s="81"/>
      <c r="B5" s="81"/>
      <c r="C5" s="81"/>
      <c r="D5" s="3" t="s">
        <v>42</v>
      </c>
      <c r="E5" s="81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H6" s="1" t="s">
        <v>91</v>
      </c>
      <c r="I6" s="1" t="s">
        <v>92</v>
      </c>
      <c r="J6" s="1" t="s">
        <v>93</v>
      </c>
    </row>
    <row r="7" spans="1:10" ht="12.75">
      <c r="A7" s="2">
        <v>1</v>
      </c>
      <c r="B7" s="2" t="s">
        <v>32</v>
      </c>
      <c r="C7" s="2">
        <v>0</v>
      </c>
      <c r="D7" s="22">
        <f>C7</f>
        <v>0</v>
      </c>
      <c r="E7" s="2">
        <f>HLOOKUP(TRUE,H7:J8,2,FALSE)</f>
        <v>5</v>
      </c>
      <c r="H7" s="2" t="b">
        <f>AND(D7&lt;=1,D7&gt;=0)</f>
        <v>1</v>
      </c>
      <c r="I7" s="2" t="b">
        <f>AND(D7=2)</f>
        <v>0</v>
      </c>
      <c r="J7" s="2" t="b">
        <f>AND(D7&gt;2)</f>
        <v>0</v>
      </c>
    </row>
    <row r="8" spans="1:10" ht="12.75">
      <c r="A8" s="2">
        <v>2</v>
      </c>
      <c r="B8" s="2" t="s">
        <v>326</v>
      </c>
      <c r="C8" s="2">
        <v>0</v>
      </c>
      <c r="D8" s="22">
        <f>C8</f>
        <v>0</v>
      </c>
      <c r="E8" s="2">
        <f>HLOOKUP(TRUE,H9:J10,2,FALSE)</f>
        <v>5</v>
      </c>
      <c r="H8" s="2">
        <v>5</v>
      </c>
      <c r="I8" s="2">
        <v>3</v>
      </c>
      <c r="J8" s="2">
        <v>0</v>
      </c>
    </row>
    <row r="9" spans="1:10" ht="12.75">
      <c r="A9" s="2">
        <v>3</v>
      </c>
      <c r="B9" s="2" t="s">
        <v>33</v>
      </c>
      <c r="C9" s="2">
        <v>0</v>
      </c>
      <c r="D9" s="22">
        <f>C9</f>
        <v>0</v>
      </c>
      <c r="E9" s="2">
        <f>HLOOKUP(TRUE,H11:J12,2,FALSE)</f>
        <v>5</v>
      </c>
      <c r="H9" s="2" t="b">
        <f>AND(D8&lt;=1,D8&gt;=0)</f>
        <v>1</v>
      </c>
      <c r="I9" s="2" t="b">
        <f>AND(D8=2)</f>
        <v>0</v>
      </c>
      <c r="J9" s="2" t="b">
        <f>AND(D8&gt;2)</f>
        <v>0</v>
      </c>
    </row>
    <row r="10" spans="1:10" ht="12.75">
      <c r="A10" s="2"/>
      <c r="B10" s="2"/>
      <c r="C10" s="2"/>
      <c r="D10" s="2"/>
      <c r="E10" s="2"/>
      <c r="H10" s="2">
        <v>5</v>
      </c>
      <c r="I10" s="2">
        <v>3</v>
      </c>
      <c r="J10" s="2">
        <v>0</v>
      </c>
    </row>
    <row r="11" spans="8:10" ht="12.75">
      <c r="H11" s="2" t="b">
        <f>AND(D9&lt;=1,D9&gt;=0)</f>
        <v>1</v>
      </c>
      <c r="I11" s="2" t="b">
        <f>AND(D9=2)</f>
        <v>0</v>
      </c>
      <c r="J11" s="2" t="b">
        <f>AND(D9&gt;2)</f>
        <v>0</v>
      </c>
    </row>
    <row r="12" spans="8:10" ht="12.75">
      <c r="H12" s="2">
        <v>5</v>
      </c>
      <c r="I12" s="2">
        <v>3</v>
      </c>
      <c r="J12" s="2">
        <v>0</v>
      </c>
    </row>
  </sheetData>
  <sheetProtection/>
  <mergeCells count="5">
    <mergeCell ref="E4:E5"/>
    <mergeCell ref="A1:E1"/>
    <mergeCell ref="A4:A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6.00390625" style="1" bestFit="1" customWidth="1"/>
    <col min="2" max="2" width="43.125" style="1" customWidth="1"/>
    <col min="3" max="3" width="23.00390625" style="1" customWidth="1"/>
    <col min="4" max="4" width="23.75390625" style="1" bestFit="1" customWidth="1"/>
    <col min="5" max="5" width="18.375" style="1" bestFit="1" customWidth="1"/>
    <col min="6" max="16384" width="9.125" style="1" customWidth="1"/>
  </cols>
  <sheetData>
    <row r="1" spans="4:5" ht="12.75">
      <c r="D1" s="95" t="s">
        <v>186</v>
      </c>
      <c r="E1" s="95"/>
    </row>
    <row r="2" spans="4:5" ht="12.75">
      <c r="D2" s="95" t="s">
        <v>187</v>
      </c>
      <c r="E2" s="95"/>
    </row>
    <row r="3" spans="4:5" ht="12.75">
      <c r="D3" s="95" t="s">
        <v>188</v>
      </c>
      <c r="E3" s="95"/>
    </row>
    <row r="4" spans="4:5" ht="12.75">
      <c r="D4" s="95" t="s">
        <v>189</v>
      </c>
      <c r="E4" s="95"/>
    </row>
    <row r="5" spans="4:5" ht="12.75">
      <c r="D5" s="95" t="s">
        <v>190</v>
      </c>
      <c r="E5" s="95"/>
    </row>
    <row r="7" spans="1:5" ht="12.75">
      <c r="A7" s="94" t="s">
        <v>72</v>
      </c>
      <c r="B7" s="94"/>
      <c r="C7" s="94"/>
      <c r="D7" s="94"/>
      <c r="E7" s="94"/>
    </row>
    <row r="8" spans="1:5" ht="12.75">
      <c r="A8" s="94" t="s">
        <v>73</v>
      </c>
      <c r="B8" s="94"/>
      <c r="C8" s="94"/>
      <c r="D8" s="94"/>
      <c r="E8" s="94"/>
    </row>
    <row r="9" spans="1:5" ht="12.75">
      <c r="A9" s="94" t="s">
        <v>74</v>
      </c>
      <c r="B9" s="94"/>
      <c r="C9" s="94"/>
      <c r="D9" s="94"/>
      <c r="E9" s="94"/>
    </row>
    <row r="10" ht="12.75">
      <c r="A10" s="18"/>
    </row>
    <row r="11" spans="1:5" ht="38.25">
      <c r="A11" s="4" t="s">
        <v>75</v>
      </c>
      <c r="B11" s="4" t="s">
        <v>76</v>
      </c>
      <c r="C11" s="4" t="s">
        <v>77</v>
      </c>
      <c r="D11" s="4" t="s">
        <v>327</v>
      </c>
      <c r="E11" s="4" t="s">
        <v>78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2.75">
      <c r="A13" s="20">
        <v>1</v>
      </c>
      <c r="B13" s="2" t="s">
        <v>32</v>
      </c>
      <c r="C13" s="20">
        <v>109</v>
      </c>
      <c r="D13" s="20">
        <f>5*26</f>
        <v>130</v>
      </c>
      <c r="E13" s="28">
        <f>C13/D13*100</f>
        <v>83.84615384615385</v>
      </c>
    </row>
    <row r="14" spans="1:5" ht="12.75">
      <c r="A14" s="20">
        <v>2</v>
      </c>
      <c r="B14" s="2" t="s">
        <v>326</v>
      </c>
      <c r="C14" s="20">
        <v>104</v>
      </c>
      <c r="D14" s="20">
        <f>5*26</f>
        <v>130</v>
      </c>
      <c r="E14" s="28">
        <f>C14/D14*100</f>
        <v>80</v>
      </c>
    </row>
    <row r="15" spans="1:5" ht="12.75">
      <c r="A15" s="20">
        <v>3</v>
      </c>
      <c r="B15" s="2" t="s">
        <v>33</v>
      </c>
      <c r="C15" s="20">
        <v>87</v>
      </c>
      <c r="D15" s="20">
        <f>5*19</f>
        <v>95</v>
      </c>
      <c r="E15" s="28">
        <f>C15/D15*100</f>
        <v>91.57894736842105</v>
      </c>
    </row>
    <row r="16" spans="1:5" ht="41.25" customHeight="1">
      <c r="A16" s="93" t="s">
        <v>79</v>
      </c>
      <c r="B16" s="93"/>
      <c r="C16" s="19" t="s">
        <v>80</v>
      </c>
      <c r="D16" s="19" t="s">
        <v>80</v>
      </c>
      <c r="E16" s="29">
        <f>(E13+E14+E15)/3</f>
        <v>85.1417004048583</v>
      </c>
    </row>
  </sheetData>
  <sheetProtection/>
  <mergeCells count="9">
    <mergeCell ref="A16:B16"/>
    <mergeCell ref="A9:E9"/>
    <mergeCell ref="A8:E8"/>
    <mergeCell ref="A7:E7"/>
    <mergeCell ref="D1:E1"/>
    <mergeCell ref="D5:E5"/>
    <mergeCell ref="D4:E4"/>
    <mergeCell ref="D3:E3"/>
    <mergeCell ref="D2:E2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95" zoomScaleSheetLayoutView="95" zoomScalePageLayoutView="0" workbookViewId="0" topLeftCell="A1">
      <selection activeCell="D7" sqref="D7"/>
    </sheetView>
  </sheetViews>
  <sheetFormatPr defaultColWidth="9.00390625" defaultRowHeight="12.75"/>
  <cols>
    <col min="1" max="1" width="4.625" style="1" customWidth="1"/>
    <col min="2" max="2" width="45.25390625" style="1" customWidth="1"/>
    <col min="3" max="3" width="47.625" style="1" customWidth="1"/>
    <col min="4" max="4" width="16.375" style="1" customWidth="1"/>
    <col min="5" max="16384" width="9.125" style="1" customWidth="1"/>
  </cols>
  <sheetData>
    <row r="1" spans="1:5" ht="34.5" customHeight="1">
      <c r="A1" s="80" t="s">
        <v>43</v>
      </c>
      <c r="B1" s="80"/>
      <c r="C1" s="80"/>
      <c r="D1" s="80"/>
      <c r="E1" s="80"/>
    </row>
    <row r="4" spans="1:5" ht="135.75" customHeight="1">
      <c r="A4" s="78" t="s">
        <v>29</v>
      </c>
      <c r="B4" s="78" t="s">
        <v>30</v>
      </c>
      <c r="C4" s="78" t="s">
        <v>44</v>
      </c>
      <c r="D4" s="4" t="s">
        <v>46</v>
      </c>
      <c r="E4" s="78" t="s">
        <v>34</v>
      </c>
    </row>
    <row r="5" spans="1:5" ht="12.75">
      <c r="A5" s="79"/>
      <c r="B5" s="79"/>
      <c r="C5" s="79"/>
      <c r="D5" s="3" t="s">
        <v>42</v>
      </c>
      <c r="E5" s="79"/>
    </row>
    <row r="6" spans="1:13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H6" s="1" t="s">
        <v>94</v>
      </c>
      <c r="I6" s="1" t="s">
        <v>95</v>
      </c>
      <c r="J6" s="1" t="s">
        <v>92</v>
      </c>
      <c r="K6" s="1" t="s">
        <v>96</v>
      </c>
      <c r="L6" s="1" t="s">
        <v>97</v>
      </c>
      <c r="M6" s="1" t="s">
        <v>98</v>
      </c>
    </row>
    <row r="7" spans="1:13" ht="12.75">
      <c r="A7" s="2">
        <v>1</v>
      </c>
      <c r="B7" s="2" t="s">
        <v>32</v>
      </c>
      <c r="C7" s="2">
        <v>0</v>
      </c>
      <c r="D7" s="5">
        <f>C7</f>
        <v>0</v>
      </c>
      <c r="E7" s="2">
        <f>HLOOKUP(TRUE,H7:M8,2,FALSE)</f>
        <v>5</v>
      </c>
      <c r="H7" s="2" t="b">
        <f>AND(D7=0)</f>
        <v>1</v>
      </c>
      <c r="I7" s="2" t="b">
        <f>AND(D7=1)</f>
        <v>0</v>
      </c>
      <c r="J7" s="2" t="b">
        <f>AND(D7=2)</f>
        <v>0</v>
      </c>
      <c r="K7" s="2" t="b">
        <f>AND(D7=3)</f>
        <v>0</v>
      </c>
      <c r="L7" s="2" t="b">
        <f>AND(D7=4)</f>
        <v>0</v>
      </c>
      <c r="M7" s="2" t="b">
        <f>AND(D7&gt;4)</f>
        <v>0</v>
      </c>
    </row>
    <row r="8" spans="1:13" ht="12.75">
      <c r="A8" s="2">
        <v>2</v>
      </c>
      <c r="B8" s="2" t="s">
        <v>326</v>
      </c>
      <c r="C8" s="2">
        <v>0</v>
      </c>
      <c r="D8" s="5">
        <f>C8</f>
        <v>0</v>
      </c>
      <c r="E8" s="2">
        <f>HLOOKUP(TRUE,H9:M10,2,FALSE)</f>
        <v>5</v>
      </c>
      <c r="H8" s="2">
        <v>5</v>
      </c>
      <c r="I8" s="2">
        <v>4</v>
      </c>
      <c r="J8" s="2">
        <v>3</v>
      </c>
      <c r="K8" s="2">
        <v>2</v>
      </c>
      <c r="L8" s="2">
        <v>1</v>
      </c>
      <c r="M8" s="2">
        <v>0</v>
      </c>
    </row>
    <row r="9" spans="1:13" ht="12.75">
      <c r="A9" s="2">
        <v>3</v>
      </c>
      <c r="B9" s="2" t="s">
        <v>33</v>
      </c>
      <c r="C9" s="2">
        <v>0</v>
      </c>
      <c r="D9" s="5">
        <f>C9</f>
        <v>0</v>
      </c>
      <c r="E9" s="2">
        <f>HLOOKUP(TRUE,H11:M12,2,FALSE)</f>
        <v>5</v>
      </c>
      <c r="H9" s="2" t="b">
        <f>AND(D8=0)</f>
        <v>1</v>
      </c>
      <c r="I9" s="2" t="b">
        <f>AND(D8=1)</f>
        <v>0</v>
      </c>
      <c r="J9" s="2" t="b">
        <f>AND(D8=2)</f>
        <v>0</v>
      </c>
      <c r="K9" s="2" t="b">
        <f>AND(D8=3)</f>
        <v>0</v>
      </c>
      <c r="L9" s="2" t="b">
        <f>AND(D8=4)</f>
        <v>0</v>
      </c>
      <c r="M9" s="2" t="b">
        <f>AND(D8&gt;4)</f>
        <v>0</v>
      </c>
    </row>
    <row r="10" spans="1:13" ht="12.75">
      <c r="A10" s="2"/>
      <c r="B10" s="2"/>
      <c r="C10" s="2"/>
      <c r="D10" s="5"/>
      <c r="E10" s="2"/>
      <c r="H10" s="2">
        <v>5</v>
      </c>
      <c r="I10" s="2">
        <v>4</v>
      </c>
      <c r="J10" s="2">
        <v>3</v>
      </c>
      <c r="K10" s="2">
        <v>2</v>
      </c>
      <c r="L10" s="2">
        <v>1</v>
      </c>
      <c r="M10" s="2">
        <v>0</v>
      </c>
    </row>
    <row r="11" spans="8:13" ht="12.75">
      <c r="H11" s="2" t="b">
        <f>AND(D9=0)</f>
        <v>1</v>
      </c>
      <c r="I11" s="2" t="b">
        <f>AND(D9=1)</f>
        <v>0</v>
      </c>
      <c r="J11" s="2" t="b">
        <f>AND(D9=2)</f>
        <v>0</v>
      </c>
      <c r="K11" s="2" t="b">
        <f>AND(D9=3)</f>
        <v>0</v>
      </c>
      <c r="L11" s="2" t="b">
        <f>AND(D9=4)</f>
        <v>0</v>
      </c>
      <c r="M11" s="2" t="b">
        <f>AND(D9&gt;4)</f>
        <v>0</v>
      </c>
    </row>
    <row r="12" spans="8:13" ht="12.75">
      <c r="H12" s="2">
        <v>5</v>
      </c>
      <c r="I12" s="2">
        <v>4</v>
      </c>
      <c r="J12" s="2">
        <v>3</v>
      </c>
      <c r="K12" s="2">
        <v>2</v>
      </c>
      <c r="L12" s="2">
        <v>1</v>
      </c>
      <c r="M12" s="2">
        <v>0</v>
      </c>
    </row>
  </sheetData>
  <sheetProtection/>
  <mergeCells count="5">
    <mergeCell ref="E4:E5"/>
    <mergeCell ref="A1:E1"/>
    <mergeCell ref="A4:A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95" zoomScaleSheetLayoutView="95" zoomScalePageLayoutView="0" workbookViewId="0" topLeftCell="A1">
      <selection activeCell="D9" sqref="D9"/>
    </sheetView>
  </sheetViews>
  <sheetFormatPr defaultColWidth="9.00390625" defaultRowHeight="12.75"/>
  <cols>
    <col min="1" max="1" width="4.625" style="1" customWidth="1"/>
    <col min="2" max="2" width="46.00390625" style="1" customWidth="1"/>
    <col min="3" max="3" width="37.125" style="1" customWidth="1"/>
    <col min="4" max="4" width="30.875" style="1" customWidth="1"/>
    <col min="5" max="5" width="19.125" style="1" bestFit="1" customWidth="1"/>
    <col min="6" max="8" width="9.125" style="1" customWidth="1"/>
    <col min="9" max="9" width="9.75390625" style="1" customWidth="1"/>
    <col min="10" max="10" width="6.125" style="1" bestFit="1" customWidth="1"/>
    <col min="11" max="11" width="9.25390625" style="1" customWidth="1"/>
    <col min="12" max="13" width="6.125" style="1" bestFit="1" customWidth="1"/>
    <col min="14" max="14" width="7.75390625" style="1" bestFit="1" customWidth="1"/>
    <col min="15" max="16384" width="9.125" style="1" customWidth="1"/>
  </cols>
  <sheetData>
    <row r="1" spans="1:6" ht="63.75" customHeight="1">
      <c r="A1" s="80" t="s">
        <v>48</v>
      </c>
      <c r="B1" s="80"/>
      <c r="C1" s="80"/>
      <c r="D1" s="80"/>
      <c r="E1" s="80"/>
      <c r="F1" s="80"/>
    </row>
    <row r="4" spans="1:6" ht="74.25" customHeight="1">
      <c r="A4" s="78" t="s">
        <v>29</v>
      </c>
      <c r="B4" s="78" t="s">
        <v>30</v>
      </c>
      <c r="C4" s="78" t="s">
        <v>68</v>
      </c>
      <c r="D4" s="78" t="s">
        <v>69</v>
      </c>
      <c r="E4" s="4" t="s">
        <v>47</v>
      </c>
      <c r="F4" s="78" t="s">
        <v>34</v>
      </c>
    </row>
    <row r="5" spans="1:7" ht="12.75">
      <c r="A5" s="79"/>
      <c r="B5" s="79"/>
      <c r="C5" s="79"/>
      <c r="D5" s="79"/>
      <c r="E5" s="2" t="s">
        <v>82</v>
      </c>
      <c r="F5" s="79"/>
      <c r="G5" s="1" t="s">
        <v>49</v>
      </c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 t="s">
        <v>99</v>
      </c>
      <c r="J6" s="15" t="s">
        <v>101</v>
      </c>
      <c r="K6" s="15" t="s">
        <v>102</v>
      </c>
      <c r="L6" s="15" t="s">
        <v>103</v>
      </c>
      <c r="M6" s="15" t="s">
        <v>104</v>
      </c>
      <c r="N6" s="15" t="s">
        <v>100</v>
      </c>
    </row>
    <row r="7" spans="1:14" ht="12.75">
      <c r="A7" s="2">
        <v>1</v>
      </c>
      <c r="B7" s="2" t="s">
        <v>32</v>
      </c>
      <c r="C7" s="23">
        <v>8851301.14</v>
      </c>
      <c r="D7" s="23">
        <v>2485500</v>
      </c>
      <c r="E7" s="5">
        <f>(C7-D7)/D7*100</f>
        <v>256.11752725809697</v>
      </c>
      <c r="F7" s="2">
        <v>4</v>
      </c>
      <c r="I7" s="2" t="b">
        <f>AND(E7&lt;=3,E7&gt;=0)</f>
        <v>0</v>
      </c>
      <c r="J7" s="2" t="b">
        <f>AND(E7&lt;=5,E7&gt;3)</f>
        <v>0</v>
      </c>
      <c r="K7" s="2" t="b">
        <f>AND(E7&lt;=10,E7&gt;5)</f>
        <v>0</v>
      </c>
      <c r="L7" s="2" t="b">
        <f>AND(E7&lt;=12,E7&gt;10)</f>
        <v>0</v>
      </c>
      <c r="M7" s="2" t="b">
        <f>AND(E7&lt;=15,E7&gt;12)</f>
        <v>0</v>
      </c>
      <c r="N7" s="2" t="b">
        <f>AND(E7&gt;15)</f>
        <v>1</v>
      </c>
    </row>
    <row r="8" spans="1:14" ht="12.75">
      <c r="A8" s="2">
        <v>2</v>
      </c>
      <c r="B8" s="2" t="s">
        <v>326</v>
      </c>
      <c r="C8" s="23">
        <v>19643</v>
      </c>
      <c r="D8" s="23">
        <v>0</v>
      </c>
      <c r="E8" s="5" t="e">
        <f>(C8-D8)/D8*100</f>
        <v>#DIV/0!</v>
      </c>
      <c r="F8" s="2">
        <v>0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23">
        <v>122584405.44</v>
      </c>
      <c r="D9" s="23">
        <v>79488317</v>
      </c>
      <c r="E9" s="5">
        <f>(C9-D9)/D9*100</f>
        <v>54.216883771737166</v>
      </c>
      <c r="F9" s="2">
        <f>HLOOKUP(TRUE,I11:N12,2,FALSE)</f>
        <v>0</v>
      </c>
      <c r="I9" s="2" t="e">
        <f>AND(E8&lt;=3,E8&gt;=0)</f>
        <v>#DIV/0!</v>
      </c>
      <c r="J9" s="2" t="e">
        <f>AND(E8&lt;=5,E8&gt;3)</f>
        <v>#DIV/0!</v>
      </c>
      <c r="K9" s="2" t="e">
        <f>AND(E8&lt;=10,E8&gt;5)</f>
        <v>#DIV/0!</v>
      </c>
      <c r="L9" s="2" t="e">
        <f>AND(E8&lt;=12,E8&gt;10)</f>
        <v>#DIV/0!</v>
      </c>
      <c r="M9" s="2" t="e">
        <f>AND(E8&lt;=15,E8&gt;12)</f>
        <v>#DIV/0!</v>
      </c>
      <c r="N9" s="2" t="e">
        <f>AND(E8&gt;15)</f>
        <v>#DIV/0!</v>
      </c>
    </row>
    <row r="10" spans="1:14" ht="12.75">
      <c r="A10" s="2"/>
      <c r="B10" s="2"/>
      <c r="C10" s="2"/>
      <c r="D10" s="2"/>
      <c r="E10" s="2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b">
        <f>AND(E9&lt;=3,E9&gt;=0)</f>
        <v>0</v>
      </c>
      <c r="J11" s="2" t="b">
        <f>AND(E9&lt;=5,E9&gt;3)</f>
        <v>0</v>
      </c>
      <c r="K11" s="2" t="b">
        <f>AND(E9&lt;=10,E9&gt;5)</f>
        <v>0</v>
      </c>
      <c r="L11" s="2" t="b">
        <f>AND(E9&lt;=12,E9&gt;10)</f>
        <v>0</v>
      </c>
      <c r="M11" s="2" t="b">
        <f>AND(E9&lt;=15,E9&gt;12)</f>
        <v>0</v>
      </c>
      <c r="N11" s="2" t="b">
        <f>AND(E9&gt;15)</f>
        <v>1</v>
      </c>
    </row>
    <row r="12" spans="9:14" ht="12.75"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  <row r="14" ht="12.75">
      <c r="C14" s="45"/>
    </row>
    <row r="17" ht="12.75">
      <c r="D17" s="45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95" zoomScaleSheetLayoutView="95" zoomScalePageLayoutView="0" workbookViewId="0" topLeftCell="A1">
      <selection activeCell="E10" sqref="E10"/>
    </sheetView>
  </sheetViews>
  <sheetFormatPr defaultColWidth="9.00390625" defaultRowHeight="12.75"/>
  <cols>
    <col min="1" max="1" width="4.625" style="1" customWidth="1"/>
    <col min="2" max="2" width="40.125" style="1" bestFit="1" customWidth="1"/>
    <col min="3" max="3" width="20.875" style="1" customWidth="1"/>
    <col min="4" max="4" width="27.125" style="1" customWidth="1"/>
    <col min="5" max="5" width="16.375" style="1" customWidth="1"/>
    <col min="6" max="16384" width="9.125" style="1" customWidth="1"/>
  </cols>
  <sheetData>
    <row r="1" spans="1:6" ht="70.5" customHeight="1">
      <c r="A1" s="80" t="s">
        <v>63</v>
      </c>
      <c r="B1" s="80"/>
      <c r="C1" s="80"/>
      <c r="D1" s="80"/>
      <c r="E1" s="80"/>
      <c r="F1" s="80"/>
    </row>
    <row r="4" spans="1:6" ht="105" customHeight="1">
      <c r="A4" s="78" t="s">
        <v>29</v>
      </c>
      <c r="B4" s="78" t="s">
        <v>30</v>
      </c>
      <c r="C4" s="78" t="s">
        <v>148</v>
      </c>
      <c r="D4" s="78" t="s">
        <v>50</v>
      </c>
      <c r="E4" s="4" t="s">
        <v>55</v>
      </c>
      <c r="F4" s="78" t="s">
        <v>34</v>
      </c>
    </row>
    <row r="5" spans="1:6" ht="12.75">
      <c r="A5" s="79"/>
      <c r="B5" s="79"/>
      <c r="C5" s="79"/>
      <c r="D5" s="79"/>
      <c r="E5" s="3" t="s">
        <v>51</v>
      </c>
      <c r="F5" s="79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I6" s="1">
        <v>70</v>
      </c>
      <c r="J6" s="15" t="s">
        <v>105</v>
      </c>
      <c r="K6" s="15" t="s">
        <v>106</v>
      </c>
      <c r="L6" s="15" t="s">
        <v>107</v>
      </c>
      <c r="M6" s="15" t="s">
        <v>108</v>
      </c>
      <c r="N6" s="15" t="s">
        <v>109</v>
      </c>
    </row>
    <row r="7" spans="1:14" ht="12.75">
      <c r="A7" s="2">
        <v>1</v>
      </c>
      <c r="B7" s="2" t="s">
        <v>32</v>
      </c>
      <c r="C7" s="23">
        <v>121379604.93</v>
      </c>
      <c r="D7" s="23">
        <v>121813177.57</v>
      </c>
      <c r="E7" s="5">
        <f>C7/D7*100</f>
        <v>99.64406753961342</v>
      </c>
      <c r="F7" s="2">
        <f>HLOOKUP(TRUE,I7:N8,2,FALSE)</f>
        <v>5</v>
      </c>
      <c r="I7" s="16" t="b">
        <f>AND(E7&gt;=70)</f>
        <v>1</v>
      </c>
      <c r="J7" s="2" t="b">
        <f>AND(E7&lt;70,E7&gt;=50)</f>
        <v>0</v>
      </c>
      <c r="K7" s="2" t="b">
        <f>AND(E7&lt;50,E7&gt;=40)</f>
        <v>0</v>
      </c>
      <c r="L7" s="2" t="b">
        <f>AND(E7&lt;40,E7&gt;=30)</f>
        <v>0</v>
      </c>
      <c r="M7" s="2" t="b">
        <f>AND(E7&lt;30,E7&gt;=20)</f>
        <v>0</v>
      </c>
      <c r="N7" s="2" t="b">
        <f>AND(E7&lt;20)</f>
        <v>0</v>
      </c>
    </row>
    <row r="8" spans="1:14" ht="12.75">
      <c r="A8" s="2">
        <v>2</v>
      </c>
      <c r="B8" s="2" t="s">
        <v>326</v>
      </c>
      <c r="C8" s="23">
        <v>157841477.8</v>
      </c>
      <c r="D8" s="23">
        <v>162005626.92</v>
      </c>
      <c r="E8" s="5">
        <f>C8/D8*100</f>
        <v>97.42962685977798</v>
      </c>
      <c r="F8" s="2">
        <f>HLOOKUP(TRUE,I9:N10,2,FALSE)</f>
        <v>5</v>
      </c>
      <c r="I8" s="2">
        <v>5</v>
      </c>
      <c r="J8" s="2">
        <v>4</v>
      </c>
      <c r="K8" s="2">
        <v>3</v>
      </c>
      <c r="L8" s="2">
        <v>2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23">
        <v>148566726.83</v>
      </c>
      <c r="D9" s="23">
        <v>175965018.96</v>
      </c>
      <c r="E9" s="5">
        <f>C9/D9*100</f>
        <v>84.42969387215074</v>
      </c>
      <c r="F9" s="2">
        <v>5</v>
      </c>
      <c r="G9" s="1" t="s">
        <v>141</v>
      </c>
      <c r="I9" s="2" t="b">
        <f>AND(E8&gt;=70)</f>
        <v>1</v>
      </c>
      <c r="J9" s="2" t="b">
        <f>AND(E8&lt;70,E8&gt;=50)</f>
        <v>0</v>
      </c>
      <c r="K9" s="2" t="b">
        <f>AND(E8&lt;50,E8&gt;=40)</f>
        <v>0</v>
      </c>
      <c r="L9" s="2" t="b">
        <f>AND(E8&lt;40,E8&gt;=30)</f>
        <v>0</v>
      </c>
      <c r="M9" s="2" t="b">
        <f>AND(E8&lt;30,E8&gt;=20)</f>
        <v>0</v>
      </c>
      <c r="N9" s="2" t="b">
        <f>AND(E8&lt;20)</f>
        <v>0</v>
      </c>
    </row>
    <row r="10" spans="1:14" ht="12.75">
      <c r="A10" s="2"/>
      <c r="B10" s="2"/>
      <c r="C10" s="23"/>
      <c r="D10" s="23"/>
      <c r="E10" s="5"/>
      <c r="F10" s="2"/>
      <c r="I10" s="2">
        <v>5</v>
      </c>
      <c r="J10" s="2">
        <v>4</v>
      </c>
      <c r="K10" s="2">
        <v>3</v>
      </c>
      <c r="L10" s="2">
        <v>2</v>
      </c>
      <c r="M10" s="2">
        <v>1</v>
      </c>
      <c r="N10" s="2">
        <v>0</v>
      </c>
    </row>
    <row r="11" spans="9:14" ht="12.75">
      <c r="I11" s="2" t="b">
        <f>AND(E9&gt;=70)</f>
        <v>1</v>
      </c>
      <c r="J11" s="2" t="b">
        <f>AND(E9&lt;70,E9&gt;=50)</f>
        <v>0</v>
      </c>
      <c r="K11" s="2" t="b">
        <f>AND(E9&lt;50,E9&gt;=40)</f>
        <v>0</v>
      </c>
      <c r="L11" s="2" t="b">
        <f>AND(E9&lt;40,E9&gt;=30)</f>
        <v>0</v>
      </c>
      <c r="M11" s="2" t="b">
        <f>AND(E9&lt;30,E9&gt;=20)</f>
        <v>0</v>
      </c>
      <c r="N11" s="2" t="b">
        <f>AND(E9&lt;20)</f>
        <v>0</v>
      </c>
    </row>
    <row r="12" spans="9:14" ht="12.75">
      <c r="I12" s="2">
        <v>5</v>
      </c>
      <c r="J12" s="2">
        <v>4</v>
      </c>
      <c r="K12" s="2">
        <v>3</v>
      </c>
      <c r="L12" s="2">
        <v>2</v>
      </c>
      <c r="M12" s="2">
        <v>1</v>
      </c>
      <c r="N12" s="2">
        <v>0</v>
      </c>
    </row>
    <row r="16" spans="3:5" ht="12.75">
      <c r="C16" s="26"/>
      <c r="D16" s="26"/>
      <c r="E16" s="24"/>
    </row>
    <row r="17" spans="3:5" ht="12.75">
      <c r="C17" s="26"/>
      <c r="D17" s="26"/>
      <c r="E17" s="24"/>
    </row>
    <row r="18" spans="3:5" ht="12.75">
      <c r="C18" s="26"/>
      <c r="D18" s="26"/>
      <c r="E18" s="24"/>
    </row>
  </sheetData>
  <sheetProtection/>
  <mergeCells count="6">
    <mergeCell ref="F4:F5"/>
    <mergeCell ref="A1:F1"/>
    <mergeCell ref="A4:A5"/>
    <mergeCell ref="D4:D5"/>
    <mergeCell ref="C4:C5"/>
    <mergeCell ref="B4:B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R11"/>
  <sheetViews>
    <sheetView view="pageBreakPreview" zoomScale="95" zoomScaleSheetLayoutView="95" zoomScalePageLayoutView="0" workbookViewId="0" topLeftCell="A1">
      <selection activeCell="I12" sqref="I12"/>
    </sheetView>
  </sheetViews>
  <sheetFormatPr defaultColWidth="9.00390625" defaultRowHeight="12.75"/>
  <cols>
    <col min="1" max="1" width="4.625" style="1" customWidth="1"/>
    <col min="2" max="2" width="38.75390625" style="1" customWidth="1"/>
    <col min="3" max="3" width="12.00390625" style="1" customWidth="1"/>
    <col min="4" max="4" width="30.75390625" style="1" customWidth="1"/>
    <col min="5" max="5" width="30.625" style="1" customWidth="1"/>
    <col min="6" max="6" width="13.25390625" style="1" customWidth="1"/>
    <col min="7" max="7" width="12.75390625" style="1" customWidth="1"/>
    <col min="8" max="8" width="11.375" style="1" customWidth="1"/>
    <col min="9" max="9" width="19.625" style="1" customWidth="1"/>
    <col min="10" max="16384" width="9.125" style="1" customWidth="1"/>
  </cols>
  <sheetData>
    <row r="1" spans="1:10" ht="81" customHeight="1">
      <c r="A1" s="80" t="s">
        <v>64</v>
      </c>
      <c r="B1" s="80"/>
      <c r="C1" s="80"/>
      <c r="D1" s="80"/>
      <c r="E1" s="80"/>
      <c r="F1" s="80"/>
      <c r="G1" s="80"/>
      <c r="H1" s="80"/>
      <c r="I1" s="80"/>
      <c r="J1" s="80"/>
    </row>
    <row r="4" spans="1:10" ht="171" customHeight="1">
      <c r="A4" s="78" t="s">
        <v>29</v>
      </c>
      <c r="B4" s="78" t="s">
        <v>30</v>
      </c>
      <c r="C4" s="78" t="s">
        <v>143</v>
      </c>
      <c r="D4" s="78" t="s">
        <v>144</v>
      </c>
      <c r="E4" s="78" t="s">
        <v>145</v>
      </c>
      <c r="F4" s="78" t="s">
        <v>146</v>
      </c>
      <c r="G4" s="78" t="s">
        <v>52</v>
      </c>
      <c r="H4" s="78" t="s">
        <v>53</v>
      </c>
      <c r="I4" s="4" t="s">
        <v>56</v>
      </c>
      <c r="J4" s="78" t="s">
        <v>34</v>
      </c>
    </row>
    <row r="5" spans="1:18" ht="25.5">
      <c r="A5" s="79"/>
      <c r="B5" s="79"/>
      <c r="C5" s="79"/>
      <c r="D5" s="79"/>
      <c r="E5" s="79"/>
      <c r="F5" s="79"/>
      <c r="G5" s="79"/>
      <c r="H5" s="79"/>
      <c r="I5" s="6" t="s">
        <v>54</v>
      </c>
      <c r="J5" s="79"/>
      <c r="M5" s="1">
        <v>95</v>
      </c>
      <c r="N5" s="15" t="s">
        <v>110</v>
      </c>
      <c r="O5" s="15" t="s">
        <v>111</v>
      </c>
      <c r="P5" s="15" t="s">
        <v>112</v>
      </c>
      <c r="Q5" s="15" t="s">
        <v>88</v>
      </c>
      <c r="R5" s="15" t="s">
        <v>113</v>
      </c>
    </row>
    <row r="6" spans="1:1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M6" s="16" t="b">
        <f>AND(I7&gt;=95)</f>
        <v>0</v>
      </c>
      <c r="N6" s="2" t="b">
        <f>AND(I7&lt;95,I7&gt;=90)</f>
        <v>0</v>
      </c>
      <c r="O6" s="2" t="b">
        <f>AND(I7&lt;90,I7&gt;=85)</f>
        <v>0</v>
      </c>
      <c r="P6" s="2" t="b">
        <f>AND(I7&lt;85,I7&gt;=80)</f>
        <v>0</v>
      </c>
      <c r="Q6" s="2" t="b">
        <f>AND(I7&lt;80,I7&gt;=70)</f>
        <v>0</v>
      </c>
      <c r="R6" s="2" t="b">
        <f>AND(I7&lt;70)</f>
        <v>1</v>
      </c>
    </row>
    <row r="7" spans="1:18" ht="12.75">
      <c r="A7" s="2">
        <v>1</v>
      </c>
      <c r="B7" s="2" t="s">
        <v>32</v>
      </c>
      <c r="C7" s="2">
        <v>0</v>
      </c>
      <c r="D7" s="2">
        <v>0</v>
      </c>
      <c r="E7" s="2">
        <v>2</v>
      </c>
      <c r="F7" s="82">
        <v>1</v>
      </c>
      <c r="G7" s="82">
        <v>4</v>
      </c>
      <c r="H7" s="82">
        <v>7</v>
      </c>
      <c r="I7" s="5">
        <f>(C7+D7+E7)/(F7+G7+H7)*100</f>
        <v>16.666666666666664</v>
      </c>
      <c r="J7" s="2">
        <f>HLOOKUP(TRUE,M6:R7,2,FALSE)</f>
        <v>0</v>
      </c>
      <c r="M7" s="2">
        <v>5</v>
      </c>
      <c r="N7" s="2">
        <v>4</v>
      </c>
      <c r="O7" s="2">
        <v>3</v>
      </c>
      <c r="P7" s="2">
        <v>2</v>
      </c>
      <c r="Q7" s="2">
        <v>1</v>
      </c>
      <c r="R7" s="2">
        <v>0</v>
      </c>
    </row>
    <row r="8" spans="1:18" ht="12.75">
      <c r="A8" s="2">
        <v>2</v>
      </c>
      <c r="B8" s="2" t="s">
        <v>326</v>
      </c>
      <c r="C8" s="2">
        <v>0</v>
      </c>
      <c r="D8" s="2">
        <v>4</v>
      </c>
      <c r="E8" s="2">
        <v>5</v>
      </c>
      <c r="F8" s="83"/>
      <c r="G8" s="83"/>
      <c r="H8" s="83"/>
      <c r="I8" s="5">
        <f>(C8+D8+E8)/(F7+G7+H7)*100</f>
        <v>75</v>
      </c>
      <c r="J8" s="2">
        <f>HLOOKUP(TRUE,M8:R9,2,FALSE)</f>
        <v>1</v>
      </c>
      <c r="M8" s="16" t="b">
        <f>AND(I8&gt;=95)</f>
        <v>0</v>
      </c>
      <c r="N8" s="2" t="b">
        <f>AND(I8&lt;95,I8&gt;=90)</f>
        <v>0</v>
      </c>
      <c r="O8" s="2" t="b">
        <f>AND(I8&lt;90,I8&gt;=85)</f>
        <v>0</v>
      </c>
      <c r="P8" s="2" t="b">
        <f>AND(I8&lt;85,I8&gt;=80)</f>
        <v>0</v>
      </c>
      <c r="Q8" s="2" t="b">
        <f>AND(I8&lt;80,I8&gt;=70)</f>
        <v>1</v>
      </c>
      <c r="R8" s="2" t="b">
        <f>AND(I8&lt;70)</f>
        <v>0</v>
      </c>
    </row>
    <row r="9" spans="1:18" ht="12.75">
      <c r="A9" s="2">
        <v>3</v>
      </c>
      <c r="B9" s="2" t="s">
        <v>33</v>
      </c>
      <c r="C9" s="2">
        <v>0</v>
      </c>
      <c r="D9" s="2">
        <v>0</v>
      </c>
      <c r="E9" s="2">
        <v>0</v>
      </c>
      <c r="F9" s="83"/>
      <c r="G9" s="83"/>
      <c r="H9" s="83"/>
      <c r="I9" s="5">
        <f>(C9+D9+E9)/(F7+G7+H7)*100</f>
        <v>0</v>
      </c>
      <c r="J9" s="46" t="s">
        <v>259</v>
      </c>
      <c r="K9" s="1" t="s">
        <v>141</v>
      </c>
      <c r="M9" s="2">
        <v>5</v>
      </c>
      <c r="N9" s="2">
        <v>4</v>
      </c>
      <c r="O9" s="2">
        <v>3</v>
      </c>
      <c r="P9" s="2">
        <v>2</v>
      </c>
      <c r="Q9" s="2">
        <v>1</v>
      </c>
      <c r="R9" s="2">
        <v>0</v>
      </c>
    </row>
    <row r="10" spans="1:18" ht="12.75">
      <c r="A10" s="2"/>
      <c r="B10" s="2"/>
      <c r="C10" s="2"/>
      <c r="D10" s="2"/>
      <c r="E10" s="2"/>
      <c r="F10" s="72"/>
      <c r="G10" s="72"/>
      <c r="H10" s="72"/>
      <c r="I10" s="2"/>
      <c r="J10" s="46"/>
      <c r="M10" s="16" t="b">
        <f>AND(I9&gt;=95)</f>
        <v>0</v>
      </c>
      <c r="N10" s="2" t="b">
        <f>AND(I9&lt;95,I9&gt;=90)</f>
        <v>0</v>
      </c>
      <c r="O10" s="2" t="b">
        <f>AND(I9&lt;90,I9&gt;=85)</f>
        <v>0</v>
      </c>
      <c r="P10" s="2" t="b">
        <f>AND(I9&lt;85,I9&gt;=80)</f>
        <v>0</v>
      </c>
      <c r="Q10" s="2" t="b">
        <f>AND(I9&lt;80,I9&gt;=70)</f>
        <v>0</v>
      </c>
      <c r="R10" s="2" t="b">
        <f>AND(I9&lt;70)</f>
        <v>1</v>
      </c>
    </row>
    <row r="11" spans="13:18" ht="12.75">
      <c r="M11" s="2">
        <v>5</v>
      </c>
      <c r="N11" s="2">
        <v>4</v>
      </c>
      <c r="O11" s="2">
        <v>3</v>
      </c>
      <c r="P11" s="2">
        <v>2</v>
      </c>
      <c r="Q11" s="2">
        <v>1</v>
      </c>
      <c r="R11" s="2">
        <v>0</v>
      </c>
    </row>
  </sheetData>
  <sheetProtection/>
  <mergeCells count="13">
    <mergeCell ref="F7:F9"/>
    <mergeCell ref="G7:G9"/>
    <mergeCell ref="H7:H9"/>
    <mergeCell ref="A1:J1"/>
    <mergeCell ref="A4:A5"/>
    <mergeCell ref="D4:D5"/>
    <mergeCell ref="C4:C5"/>
    <mergeCell ref="B4:B5"/>
    <mergeCell ref="E4:E5"/>
    <mergeCell ref="F4:F5"/>
    <mergeCell ref="G4:G5"/>
    <mergeCell ref="H4:H5"/>
    <mergeCell ref="J4:J5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N70"/>
  <sheetViews>
    <sheetView view="pageBreakPreview" zoomScale="85" zoomScaleSheetLayoutView="85" zoomScalePageLayoutView="0" workbookViewId="0" topLeftCell="A1">
      <selection activeCell="D7" sqref="D7"/>
    </sheetView>
  </sheetViews>
  <sheetFormatPr defaultColWidth="9.00390625" defaultRowHeight="12.75"/>
  <cols>
    <col min="1" max="1" width="4.625" style="1" customWidth="1"/>
    <col min="2" max="2" width="43.125" style="1" customWidth="1"/>
    <col min="3" max="3" width="26.625" style="1" customWidth="1"/>
    <col min="4" max="4" width="26.875" style="1" customWidth="1"/>
    <col min="5" max="5" width="20.00390625" style="1" customWidth="1"/>
    <col min="6" max="6" width="24.375" style="1" customWidth="1"/>
    <col min="7" max="7" width="22.00390625" style="1" customWidth="1"/>
    <col min="8" max="8" width="12.375" style="1" bestFit="1" customWidth="1"/>
    <col min="9" max="16384" width="9.125" style="1" customWidth="1"/>
  </cols>
  <sheetData>
    <row r="1" spans="1:8" ht="52.5" customHeight="1">
      <c r="A1" s="80" t="s">
        <v>194</v>
      </c>
      <c r="B1" s="80"/>
      <c r="C1" s="80"/>
      <c r="D1" s="80"/>
      <c r="E1" s="80"/>
      <c r="F1" s="80"/>
      <c r="G1" s="80"/>
      <c r="H1" s="80"/>
    </row>
    <row r="4" spans="1:8" ht="174.75" customHeight="1">
      <c r="A4" s="78" t="s">
        <v>29</v>
      </c>
      <c r="B4" s="78" t="s">
        <v>30</v>
      </c>
      <c r="C4" s="78" t="s">
        <v>199</v>
      </c>
      <c r="D4" s="78" t="s">
        <v>200</v>
      </c>
      <c r="E4" s="78" t="s">
        <v>195</v>
      </c>
      <c r="F4" s="78" t="s">
        <v>196</v>
      </c>
      <c r="G4" s="4" t="s">
        <v>197</v>
      </c>
      <c r="H4" s="78" t="s">
        <v>34</v>
      </c>
    </row>
    <row r="5" spans="1:9" ht="25.5">
      <c r="A5" s="79"/>
      <c r="B5" s="79"/>
      <c r="C5" s="79"/>
      <c r="D5" s="79"/>
      <c r="E5" s="79"/>
      <c r="F5" s="79"/>
      <c r="G5" s="39" t="s">
        <v>201</v>
      </c>
      <c r="H5" s="79"/>
      <c r="I5" s="1" t="s">
        <v>57</v>
      </c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J6" s="1" t="s">
        <v>254</v>
      </c>
      <c r="K6" s="15" t="s">
        <v>255</v>
      </c>
      <c r="L6" s="15" t="s">
        <v>256</v>
      </c>
      <c r="M6" s="15" t="s">
        <v>257</v>
      </c>
      <c r="N6" s="15" t="s">
        <v>258</v>
      </c>
    </row>
    <row r="7" spans="1:14" ht="12.75">
      <c r="A7" s="2">
        <v>1</v>
      </c>
      <c r="B7" s="2" t="s">
        <v>32</v>
      </c>
      <c r="C7" s="76">
        <v>64561909.85</v>
      </c>
      <c r="D7" s="23">
        <v>66942050.52</v>
      </c>
      <c r="E7" s="2">
        <v>15</v>
      </c>
      <c r="F7" s="2">
        <v>49.9</v>
      </c>
      <c r="G7" s="69">
        <f>((D7/C7*100-100)*F7)/100</f>
        <v>1.8396144059081</v>
      </c>
      <c r="H7" s="2">
        <v>0</v>
      </c>
      <c r="J7" s="2" t="b">
        <f>AND(G7&lt;=2,G7&gt;0)</f>
        <v>1</v>
      </c>
      <c r="K7" s="2" t="b">
        <f>AND(G7&lt;=4,G7&gt;2)</f>
        <v>0</v>
      </c>
      <c r="L7" s="2" t="b">
        <f>AND(G7&lt;=6,G7&gt;4)</f>
        <v>0</v>
      </c>
      <c r="M7" s="2" t="b">
        <f>AND(G7&lt;=8,G7&gt;6)</f>
        <v>0</v>
      </c>
      <c r="N7" s="2" t="b">
        <f>AND(G7&gt;8)</f>
        <v>0</v>
      </c>
    </row>
    <row r="8" spans="1:14" ht="12.75">
      <c r="A8" s="2">
        <v>2</v>
      </c>
      <c r="B8" s="2" t="s">
        <v>326</v>
      </c>
      <c r="C8" s="76">
        <v>33255320</v>
      </c>
      <c r="D8" s="23">
        <v>34243911.36</v>
      </c>
      <c r="E8" s="2">
        <v>10</v>
      </c>
      <c r="F8" s="2">
        <v>35.3</v>
      </c>
      <c r="G8" s="69">
        <f>((D8/C8*100-100)*F8)/100</f>
        <v>1.0493742056308586</v>
      </c>
      <c r="H8" s="2">
        <v>3</v>
      </c>
      <c r="J8" s="2">
        <v>5</v>
      </c>
      <c r="K8" s="2">
        <v>4</v>
      </c>
      <c r="L8" s="2">
        <v>3</v>
      </c>
      <c r="M8" s="2">
        <v>1</v>
      </c>
      <c r="N8" s="2">
        <v>0</v>
      </c>
    </row>
    <row r="9" spans="1:14" ht="12.75">
      <c r="A9" s="2">
        <v>3</v>
      </c>
      <c r="B9" s="2" t="s">
        <v>33</v>
      </c>
      <c r="C9" s="76">
        <v>9096124.52</v>
      </c>
      <c r="D9" s="23">
        <v>9096124.52</v>
      </c>
      <c r="E9" s="2">
        <v>5</v>
      </c>
      <c r="F9" s="2">
        <v>14.8</v>
      </c>
      <c r="G9" s="69">
        <f>((D9/C9*100-100)*F9)/100</f>
        <v>0</v>
      </c>
      <c r="H9" s="2">
        <v>4</v>
      </c>
      <c r="I9" s="1" t="s">
        <v>141</v>
      </c>
      <c r="J9" s="2" t="b">
        <f>AND(F8&lt;=5,F8&gt;=0)</f>
        <v>0</v>
      </c>
      <c r="K9" s="2" t="b">
        <f>AND(F8&lt;10,F8&gt;=5)</f>
        <v>0</v>
      </c>
      <c r="L9" s="2" t="b">
        <f>AND(F8&lt;20,F8&gt;=10)</f>
        <v>0</v>
      </c>
      <c r="M9" s="2" t="b">
        <f>AND(F8&lt;30,F8&gt;=20)</f>
        <v>0</v>
      </c>
      <c r="N9" s="2" t="b">
        <f>AND(F8&lt;40,F8&gt;=30)</f>
        <v>1</v>
      </c>
    </row>
    <row r="10" spans="1:14" ht="12.75">
      <c r="A10" s="2"/>
      <c r="B10" s="2"/>
      <c r="C10" s="2"/>
      <c r="D10" s="2"/>
      <c r="E10" s="2"/>
      <c r="F10" s="2"/>
      <c r="G10" s="2"/>
      <c r="H10" s="2"/>
      <c r="J10" s="2">
        <v>5</v>
      </c>
      <c r="K10" s="2">
        <v>4</v>
      </c>
      <c r="L10" s="2">
        <v>3</v>
      </c>
      <c r="M10" s="2">
        <v>2</v>
      </c>
      <c r="N10" s="2">
        <v>1</v>
      </c>
    </row>
    <row r="11" spans="10:14" ht="12.75">
      <c r="J11" s="2" t="b">
        <f>AND(F9&lt;=5,F9&gt;=0)</f>
        <v>0</v>
      </c>
      <c r="K11" s="2" t="b">
        <f>AND(F9&lt;10,F9&gt;=5)</f>
        <v>0</v>
      </c>
      <c r="L11" s="2" t="b">
        <f>AND(F9&lt;20,F9&gt;=10)</f>
        <v>1</v>
      </c>
      <c r="M11" s="2" t="b">
        <f>AND(F9&lt;30,F9&gt;=20)</f>
        <v>0</v>
      </c>
      <c r="N11" s="2" t="b">
        <f>AND(F9&lt;40,F9&gt;=30)</f>
        <v>0</v>
      </c>
    </row>
    <row r="12" spans="2:14" ht="15.75">
      <c r="B12" s="7" t="s">
        <v>198</v>
      </c>
      <c r="J12" s="2">
        <v>5</v>
      </c>
      <c r="K12" s="2">
        <v>4</v>
      </c>
      <c r="L12" s="2">
        <v>3</v>
      </c>
      <c r="M12" s="2">
        <v>2</v>
      </c>
      <c r="N12" s="2">
        <v>1</v>
      </c>
    </row>
    <row r="15" ht="12.75">
      <c r="D15" s="40"/>
    </row>
    <row r="17" spans="7:8" ht="12.75">
      <c r="G17" s="1" t="s">
        <v>318</v>
      </c>
      <c r="H17" s="1" t="s">
        <v>322</v>
      </c>
    </row>
    <row r="18" spans="1:8" ht="42.75">
      <c r="A18" s="47" t="s">
        <v>266</v>
      </c>
      <c r="B18" s="55" t="s">
        <v>267</v>
      </c>
      <c r="C18" s="48">
        <v>7950100</v>
      </c>
      <c r="D18" s="48"/>
      <c r="E18" s="48"/>
      <c r="F18" s="48"/>
      <c r="G18" s="62">
        <v>160000</v>
      </c>
      <c r="H18" s="68">
        <v>53800</v>
      </c>
    </row>
    <row r="19" spans="1:8" ht="15">
      <c r="A19"/>
      <c r="B19" s="56" t="s">
        <v>268</v>
      </c>
      <c r="C19" s="49">
        <v>7950100</v>
      </c>
      <c r="D19" s="50" t="s">
        <v>269</v>
      </c>
      <c r="E19" s="51"/>
      <c r="F19" s="51"/>
      <c r="G19" s="63">
        <v>160000</v>
      </c>
      <c r="H19" s="68">
        <v>1500</v>
      </c>
    </row>
    <row r="20" spans="1:8" ht="15">
      <c r="A20"/>
      <c r="B20" s="56" t="s">
        <v>270</v>
      </c>
      <c r="C20" s="49">
        <v>7950100</v>
      </c>
      <c r="D20" s="50" t="s">
        <v>269</v>
      </c>
      <c r="E20" s="50" t="s">
        <v>271</v>
      </c>
      <c r="F20" s="50"/>
      <c r="G20" s="63">
        <v>160000</v>
      </c>
      <c r="H20" s="68">
        <v>11000</v>
      </c>
    </row>
    <row r="21" spans="1:8" ht="30">
      <c r="A21"/>
      <c r="B21" s="57" t="s">
        <v>272</v>
      </c>
      <c r="C21" s="49">
        <v>7950100</v>
      </c>
      <c r="D21" s="50" t="s">
        <v>269</v>
      </c>
      <c r="E21" s="50" t="s">
        <v>271</v>
      </c>
      <c r="F21" s="50" t="s">
        <v>273</v>
      </c>
      <c r="G21" s="63">
        <v>160000</v>
      </c>
      <c r="H21" s="68">
        <v>3590</v>
      </c>
    </row>
    <row r="22" spans="1:7" ht="57">
      <c r="A22" s="52" t="s">
        <v>274</v>
      </c>
      <c r="B22" s="58" t="s">
        <v>275</v>
      </c>
      <c r="C22" s="53">
        <v>7950400</v>
      </c>
      <c r="D22" s="54"/>
      <c r="E22" s="54"/>
      <c r="F22" s="54"/>
      <c r="G22" s="64">
        <v>1000000</v>
      </c>
    </row>
    <row r="23" spans="1:7" ht="15">
      <c r="A23"/>
      <c r="B23" s="56" t="s">
        <v>276</v>
      </c>
      <c r="C23" s="49">
        <v>7950400</v>
      </c>
      <c r="D23" s="50" t="s">
        <v>277</v>
      </c>
      <c r="E23" s="50"/>
      <c r="F23" s="50"/>
      <c r="G23" s="63">
        <v>1000000</v>
      </c>
    </row>
    <row r="24" spans="1:7" ht="15">
      <c r="A24"/>
      <c r="B24" s="57" t="s">
        <v>278</v>
      </c>
      <c r="C24" s="49">
        <v>7950400</v>
      </c>
      <c r="D24" s="50" t="s">
        <v>277</v>
      </c>
      <c r="E24" s="50" t="s">
        <v>269</v>
      </c>
      <c r="F24" s="50"/>
      <c r="G24" s="63">
        <v>1000000</v>
      </c>
    </row>
    <row r="25" spans="1:7" ht="15">
      <c r="A25"/>
      <c r="B25" s="57" t="s">
        <v>279</v>
      </c>
      <c r="C25" s="49">
        <v>7950400</v>
      </c>
      <c r="D25" s="50" t="s">
        <v>277</v>
      </c>
      <c r="E25" s="50" t="s">
        <v>269</v>
      </c>
      <c r="F25" s="50" t="s">
        <v>280</v>
      </c>
      <c r="G25" s="63">
        <v>1000000</v>
      </c>
    </row>
    <row r="26" spans="1:7" ht="57">
      <c r="A26" s="52" t="s">
        <v>281</v>
      </c>
      <c r="B26" s="59" t="s">
        <v>282</v>
      </c>
      <c r="C26" s="53">
        <v>7950600</v>
      </c>
      <c r="D26" s="54"/>
      <c r="E26" s="54"/>
      <c r="F26" s="54"/>
      <c r="G26" s="64">
        <v>500000</v>
      </c>
    </row>
    <row r="27" spans="1:7" ht="15">
      <c r="A27"/>
      <c r="B27" s="56" t="s">
        <v>283</v>
      </c>
      <c r="C27" s="49">
        <v>7950600</v>
      </c>
      <c r="D27" s="50" t="s">
        <v>284</v>
      </c>
      <c r="E27" s="50"/>
      <c r="F27" s="50"/>
      <c r="G27" s="63">
        <v>500000</v>
      </c>
    </row>
    <row r="28" spans="1:7" ht="30">
      <c r="A28"/>
      <c r="B28" s="60" t="s">
        <v>285</v>
      </c>
      <c r="C28" s="49">
        <v>7950600</v>
      </c>
      <c r="D28" s="50" t="s">
        <v>284</v>
      </c>
      <c r="E28" s="50" t="s">
        <v>286</v>
      </c>
      <c r="F28" s="50"/>
      <c r="G28" s="63">
        <v>500000</v>
      </c>
    </row>
    <row r="29" spans="1:7" ht="30">
      <c r="A29"/>
      <c r="B29" s="56" t="s">
        <v>272</v>
      </c>
      <c r="C29" s="49">
        <v>7950600</v>
      </c>
      <c r="D29" s="50" t="s">
        <v>284</v>
      </c>
      <c r="E29" s="50" t="s">
        <v>286</v>
      </c>
      <c r="F29" s="50" t="s">
        <v>273</v>
      </c>
      <c r="G29" s="63">
        <v>500000</v>
      </c>
    </row>
    <row r="30" spans="1:8" ht="57">
      <c r="A30" s="52" t="s">
        <v>287</v>
      </c>
      <c r="B30" s="58" t="s">
        <v>288</v>
      </c>
      <c r="C30" s="53">
        <v>7950800</v>
      </c>
      <c r="D30" s="54"/>
      <c r="E30" s="54"/>
      <c r="F30" s="54"/>
      <c r="G30" s="64">
        <v>60000</v>
      </c>
      <c r="H30" s="67">
        <v>550</v>
      </c>
    </row>
    <row r="31" spans="1:8" ht="15">
      <c r="A31"/>
      <c r="B31" s="56" t="s">
        <v>268</v>
      </c>
      <c r="C31" s="49">
        <v>7950800</v>
      </c>
      <c r="D31" s="50" t="s">
        <v>269</v>
      </c>
      <c r="E31" s="50"/>
      <c r="F31" s="50"/>
      <c r="G31" s="63">
        <v>60000</v>
      </c>
      <c r="H31" s="67">
        <v>12405</v>
      </c>
    </row>
    <row r="32" spans="1:7" ht="75">
      <c r="A32"/>
      <c r="B32" s="57" t="s">
        <v>289</v>
      </c>
      <c r="C32" s="49">
        <v>7950800</v>
      </c>
      <c r="D32" s="50" t="s">
        <v>269</v>
      </c>
      <c r="E32" s="50" t="s">
        <v>284</v>
      </c>
      <c r="F32" s="50"/>
      <c r="G32" s="63">
        <v>60000</v>
      </c>
    </row>
    <row r="33" spans="1:7" ht="30">
      <c r="A33"/>
      <c r="B33" s="56" t="s">
        <v>272</v>
      </c>
      <c r="C33" s="49">
        <v>7950800</v>
      </c>
      <c r="D33" s="50" t="s">
        <v>269</v>
      </c>
      <c r="E33" s="50" t="s">
        <v>284</v>
      </c>
      <c r="F33" s="50" t="s">
        <v>273</v>
      </c>
      <c r="G33" s="63">
        <v>60000</v>
      </c>
    </row>
    <row r="34" spans="1:8" ht="57">
      <c r="A34" s="52" t="s">
        <v>290</v>
      </c>
      <c r="B34" s="59" t="s">
        <v>291</v>
      </c>
      <c r="C34" s="53">
        <v>7950900</v>
      </c>
      <c r="D34" s="54"/>
      <c r="E34" s="54"/>
      <c r="F34" s="54"/>
      <c r="G34" s="64">
        <v>20000</v>
      </c>
      <c r="H34" s="67">
        <v>20000</v>
      </c>
    </row>
    <row r="35" spans="1:7" ht="15">
      <c r="A35"/>
      <c r="B35" s="51" t="s">
        <v>292</v>
      </c>
      <c r="C35" s="49">
        <v>7950900</v>
      </c>
      <c r="D35" s="50" t="s">
        <v>293</v>
      </c>
      <c r="E35" s="50"/>
      <c r="F35" s="50"/>
      <c r="G35" s="63">
        <v>20000</v>
      </c>
    </row>
    <row r="36" spans="1:7" ht="15">
      <c r="A36"/>
      <c r="B36" s="57" t="s">
        <v>294</v>
      </c>
      <c r="C36" s="49">
        <v>7950900</v>
      </c>
      <c r="D36" s="50" t="s">
        <v>293</v>
      </c>
      <c r="E36" s="50" t="s">
        <v>295</v>
      </c>
      <c r="F36" s="50"/>
      <c r="G36" s="63">
        <v>20000</v>
      </c>
    </row>
    <row r="37" spans="1:7" ht="30">
      <c r="A37"/>
      <c r="B37" s="56" t="s">
        <v>296</v>
      </c>
      <c r="C37" s="49">
        <v>7950900</v>
      </c>
      <c r="D37" s="50" t="s">
        <v>293</v>
      </c>
      <c r="E37" s="50" t="s">
        <v>295</v>
      </c>
      <c r="F37" s="50" t="s">
        <v>297</v>
      </c>
      <c r="G37" s="63">
        <v>20000</v>
      </c>
    </row>
    <row r="38" spans="1:8" ht="42.75">
      <c r="A38" s="52" t="s">
        <v>298</v>
      </c>
      <c r="B38" s="59" t="s">
        <v>299</v>
      </c>
      <c r="C38" s="53">
        <v>7951200</v>
      </c>
      <c r="D38" s="54"/>
      <c r="E38" s="54"/>
      <c r="F38" s="54"/>
      <c r="G38" s="65">
        <v>5000</v>
      </c>
      <c r="H38" s="68">
        <v>5000</v>
      </c>
    </row>
    <row r="39" spans="1:7" ht="15">
      <c r="A39"/>
      <c r="B39" s="56" t="s">
        <v>283</v>
      </c>
      <c r="C39" s="49">
        <v>7951200</v>
      </c>
      <c r="D39" s="50" t="s">
        <v>284</v>
      </c>
      <c r="E39" s="50"/>
      <c r="F39" s="50"/>
      <c r="G39" s="66">
        <v>5000</v>
      </c>
    </row>
    <row r="40" spans="1:7" ht="30">
      <c r="A40"/>
      <c r="B40" s="60" t="s">
        <v>285</v>
      </c>
      <c r="C40" s="49">
        <v>7951200</v>
      </c>
      <c r="D40" s="50" t="s">
        <v>284</v>
      </c>
      <c r="E40" s="50" t="s">
        <v>286</v>
      </c>
      <c r="F40" s="50"/>
      <c r="G40" s="66">
        <v>5000</v>
      </c>
    </row>
    <row r="41" spans="1:7" ht="30">
      <c r="A41"/>
      <c r="B41" s="56" t="s">
        <v>272</v>
      </c>
      <c r="C41" s="49">
        <v>7951200</v>
      </c>
      <c r="D41" s="50" t="s">
        <v>284</v>
      </c>
      <c r="E41" s="50" t="s">
        <v>286</v>
      </c>
      <c r="F41" s="50" t="s">
        <v>273</v>
      </c>
      <c r="G41" s="66">
        <v>5000</v>
      </c>
    </row>
    <row r="42" spans="1:8" ht="71.25">
      <c r="A42" s="52" t="s">
        <v>300</v>
      </c>
      <c r="B42" s="59" t="s">
        <v>301</v>
      </c>
      <c r="C42" s="53">
        <v>7951300</v>
      </c>
      <c r="D42" s="54"/>
      <c r="E42" s="54"/>
      <c r="F42" s="54"/>
      <c r="G42" s="65">
        <v>10000</v>
      </c>
      <c r="H42" s="67">
        <v>6815.36</v>
      </c>
    </row>
    <row r="43" spans="1:8" ht="15">
      <c r="A43"/>
      <c r="B43" s="56" t="s">
        <v>268</v>
      </c>
      <c r="C43" s="49">
        <v>7951300</v>
      </c>
      <c r="D43" s="50" t="s">
        <v>269</v>
      </c>
      <c r="E43" s="51"/>
      <c r="F43" s="51"/>
      <c r="G43" s="66">
        <v>10000</v>
      </c>
      <c r="H43" s="67">
        <v>3000</v>
      </c>
    </row>
    <row r="44" spans="1:7" ht="15">
      <c r="A44"/>
      <c r="B44" s="56" t="s">
        <v>270</v>
      </c>
      <c r="C44" s="49">
        <v>7951300</v>
      </c>
      <c r="D44" s="50" t="s">
        <v>269</v>
      </c>
      <c r="E44" s="50" t="s">
        <v>271</v>
      </c>
      <c r="F44" s="50"/>
      <c r="G44" s="66">
        <v>10000</v>
      </c>
    </row>
    <row r="45" spans="1:7" ht="30">
      <c r="A45"/>
      <c r="B45" s="56" t="s">
        <v>272</v>
      </c>
      <c r="C45" s="49">
        <v>7951300</v>
      </c>
      <c r="D45" s="50" t="s">
        <v>269</v>
      </c>
      <c r="E45" s="50" t="s">
        <v>271</v>
      </c>
      <c r="F45" s="50" t="s">
        <v>273</v>
      </c>
      <c r="G45" s="66">
        <v>10000</v>
      </c>
    </row>
    <row r="46" spans="1:8" ht="85.5">
      <c r="A46" s="52" t="s">
        <v>302</v>
      </c>
      <c r="B46" s="59" t="s">
        <v>303</v>
      </c>
      <c r="C46" s="53">
        <v>7951400</v>
      </c>
      <c r="D46" s="54"/>
      <c r="E46" s="54"/>
      <c r="F46" s="54"/>
      <c r="G46" s="64">
        <v>100000</v>
      </c>
      <c r="H46" s="68">
        <v>100000</v>
      </c>
    </row>
    <row r="47" spans="1:7" ht="15">
      <c r="A47"/>
      <c r="B47" s="56" t="s">
        <v>283</v>
      </c>
      <c r="C47" s="49">
        <v>7951400</v>
      </c>
      <c r="D47" s="50" t="s">
        <v>284</v>
      </c>
      <c r="E47" s="50"/>
      <c r="F47" s="50"/>
      <c r="G47" s="63">
        <v>100000</v>
      </c>
    </row>
    <row r="48" spans="1:7" ht="15">
      <c r="A48"/>
      <c r="B48" s="57" t="s">
        <v>304</v>
      </c>
      <c r="C48" s="49">
        <v>7951400</v>
      </c>
      <c r="D48" s="50" t="s">
        <v>284</v>
      </c>
      <c r="E48" s="50" t="s">
        <v>277</v>
      </c>
      <c r="F48" s="50"/>
      <c r="G48" s="63">
        <v>100000</v>
      </c>
    </row>
    <row r="49" spans="1:7" ht="30">
      <c r="A49"/>
      <c r="B49" s="56" t="s">
        <v>272</v>
      </c>
      <c r="C49" s="49">
        <v>7951400</v>
      </c>
      <c r="D49" s="50" t="s">
        <v>284</v>
      </c>
      <c r="E49" s="50" t="s">
        <v>277</v>
      </c>
      <c r="F49" s="50" t="s">
        <v>273</v>
      </c>
      <c r="G49" s="63">
        <v>100000</v>
      </c>
    </row>
    <row r="50" spans="1:7" ht="57">
      <c r="A50" s="47" t="s">
        <v>305</v>
      </c>
      <c r="B50" s="59" t="s">
        <v>306</v>
      </c>
      <c r="C50" s="53">
        <v>7951800</v>
      </c>
      <c r="D50" s="54"/>
      <c r="E50" s="54"/>
      <c r="F50" s="54"/>
      <c r="G50" s="65">
        <v>160000</v>
      </c>
    </row>
    <row r="51" spans="1:7" ht="15">
      <c r="A51"/>
      <c r="B51" s="56" t="s">
        <v>268</v>
      </c>
      <c r="C51" s="49">
        <v>7951800</v>
      </c>
      <c r="D51" s="50" t="s">
        <v>269</v>
      </c>
      <c r="E51" s="50"/>
      <c r="F51" s="50"/>
      <c r="G51" s="66">
        <v>160000</v>
      </c>
    </row>
    <row r="52" spans="1:7" ht="15">
      <c r="A52"/>
      <c r="B52" s="56" t="s">
        <v>270</v>
      </c>
      <c r="C52" s="49">
        <v>7951800</v>
      </c>
      <c r="D52" s="50" t="s">
        <v>269</v>
      </c>
      <c r="E52" s="50" t="s">
        <v>271</v>
      </c>
      <c r="F52" s="50"/>
      <c r="G52" s="66">
        <v>160000</v>
      </c>
    </row>
    <row r="53" spans="1:7" ht="30">
      <c r="A53"/>
      <c r="B53" s="56" t="s">
        <v>272</v>
      </c>
      <c r="C53" s="49">
        <v>7951800</v>
      </c>
      <c r="D53" s="50" t="s">
        <v>269</v>
      </c>
      <c r="E53" s="50" t="s">
        <v>271</v>
      </c>
      <c r="F53" s="50" t="s">
        <v>273</v>
      </c>
      <c r="G53" s="66">
        <v>160000</v>
      </c>
    </row>
    <row r="54" spans="1:7" ht="57">
      <c r="A54" s="52" t="s">
        <v>307</v>
      </c>
      <c r="B54" s="61" t="s">
        <v>308</v>
      </c>
      <c r="C54" s="53">
        <v>7952100</v>
      </c>
      <c r="D54" s="54"/>
      <c r="E54" s="54"/>
      <c r="F54" s="54"/>
      <c r="G54" s="65">
        <v>1000000</v>
      </c>
    </row>
    <row r="55" spans="1:7" ht="15">
      <c r="A55"/>
      <c r="B55" s="56" t="s">
        <v>276</v>
      </c>
      <c r="C55" s="49">
        <v>7952100</v>
      </c>
      <c r="D55" s="50" t="s">
        <v>277</v>
      </c>
      <c r="E55" s="50"/>
      <c r="F55" s="50"/>
      <c r="G55" s="66">
        <v>1000000</v>
      </c>
    </row>
    <row r="56" spans="1:7" ht="15">
      <c r="A56"/>
      <c r="B56" s="56" t="s">
        <v>309</v>
      </c>
      <c r="C56" s="49">
        <v>7952100</v>
      </c>
      <c r="D56" s="50" t="s">
        <v>277</v>
      </c>
      <c r="E56" s="50" t="s">
        <v>310</v>
      </c>
      <c r="F56" s="50"/>
      <c r="G56" s="66">
        <v>1000000</v>
      </c>
    </row>
    <row r="57" spans="1:7" ht="30">
      <c r="A57"/>
      <c r="B57" s="56" t="s">
        <v>272</v>
      </c>
      <c r="C57" s="49">
        <v>7952100</v>
      </c>
      <c r="D57" s="50" t="s">
        <v>277</v>
      </c>
      <c r="E57" s="50" t="s">
        <v>310</v>
      </c>
      <c r="F57" s="50" t="s">
        <v>273</v>
      </c>
      <c r="G57" s="66">
        <v>1000000</v>
      </c>
    </row>
    <row r="58" spans="1:8" ht="57">
      <c r="A58" s="52" t="s">
        <v>311</v>
      </c>
      <c r="B58" s="61" t="s">
        <v>312</v>
      </c>
      <c r="C58" s="53">
        <v>7952200</v>
      </c>
      <c r="D58" s="54"/>
      <c r="E58" s="54"/>
      <c r="F58" s="54"/>
      <c r="G58" s="65">
        <v>1768500</v>
      </c>
      <c r="H58" s="67">
        <v>1390500</v>
      </c>
    </row>
    <row r="59" spans="1:8" ht="15">
      <c r="A59"/>
      <c r="B59" s="51" t="s">
        <v>292</v>
      </c>
      <c r="C59" s="49">
        <v>7952200</v>
      </c>
      <c r="D59" s="50" t="s">
        <v>293</v>
      </c>
      <c r="E59" s="50"/>
      <c r="F59" s="50"/>
      <c r="G59" s="66">
        <v>1768500</v>
      </c>
      <c r="H59" s="67">
        <v>391755</v>
      </c>
    </row>
    <row r="60" spans="1:7" ht="15">
      <c r="A60"/>
      <c r="B60" s="56" t="s">
        <v>313</v>
      </c>
      <c r="C60" s="49">
        <v>7952200</v>
      </c>
      <c r="D60" s="50" t="s">
        <v>293</v>
      </c>
      <c r="E60" s="50" t="s">
        <v>293</v>
      </c>
      <c r="F60" s="50"/>
      <c r="G60" s="66">
        <v>1768500</v>
      </c>
    </row>
    <row r="61" spans="1:7" ht="60">
      <c r="A61"/>
      <c r="B61" s="56" t="s">
        <v>314</v>
      </c>
      <c r="C61" s="49">
        <v>7952200</v>
      </c>
      <c r="D61" s="50" t="s">
        <v>293</v>
      </c>
      <c r="E61" s="50" t="s">
        <v>293</v>
      </c>
      <c r="F61" s="50" t="s">
        <v>315</v>
      </c>
      <c r="G61" s="66">
        <v>1768500</v>
      </c>
    </row>
    <row r="62" spans="1:8" ht="42.75">
      <c r="A62" s="52" t="s">
        <v>316</v>
      </c>
      <c r="B62" s="61" t="s">
        <v>317</v>
      </c>
      <c r="C62" s="53">
        <v>7952300</v>
      </c>
      <c r="D62" s="54"/>
      <c r="E62" s="54"/>
      <c r="F62" s="54"/>
      <c r="G62" s="64">
        <v>26000</v>
      </c>
      <c r="H62" s="67">
        <v>18000</v>
      </c>
    </row>
    <row r="63" spans="1:8" ht="15">
      <c r="A63"/>
      <c r="B63" s="51" t="s">
        <v>292</v>
      </c>
      <c r="C63" s="49">
        <v>7952300</v>
      </c>
      <c r="D63" s="50" t="s">
        <v>293</v>
      </c>
      <c r="E63" s="50"/>
      <c r="F63" s="50"/>
      <c r="G63" s="63">
        <v>26000</v>
      </c>
      <c r="H63" s="67">
        <v>8000</v>
      </c>
    </row>
    <row r="64" spans="1:7" ht="15">
      <c r="A64"/>
      <c r="B64" s="56" t="s">
        <v>313</v>
      </c>
      <c r="C64" s="49">
        <v>7952300</v>
      </c>
      <c r="D64" s="50" t="s">
        <v>293</v>
      </c>
      <c r="E64" s="50" t="s">
        <v>293</v>
      </c>
      <c r="F64" s="50"/>
      <c r="G64" s="63">
        <v>26000</v>
      </c>
    </row>
    <row r="65" spans="1:7" ht="30">
      <c r="A65"/>
      <c r="B65" s="56" t="s">
        <v>296</v>
      </c>
      <c r="C65" s="49">
        <v>7952300</v>
      </c>
      <c r="D65" s="50" t="s">
        <v>293</v>
      </c>
      <c r="E65" s="50" t="s">
        <v>293</v>
      </c>
      <c r="F65" s="50" t="s">
        <v>297</v>
      </c>
      <c r="G65" s="63">
        <v>26000</v>
      </c>
    </row>
    <row r="66" ht="12.75">
      <c r="G66" s="1" t="s">
        <v>319</v>
      </c>
    </row>
    <row r="67" spans="2:8" ht="14.25">
      <c r="B67" s="2" t="s">
        <v>320</v>
      </c>
      <c r="C67" s="2"/>
      <c r="D67" s="2"/>
      <c r="E67" s="2"/>
      <c r="F67" s="2"/>
      <c r="G67" s="64">
        <v>250000</v>
      </c>
      <c r="H67" s="68">
        <v>25013</v>
      </c>
    </row>
    <row r="68" spans="2:8" ht="12.75">
      <c r="B68" s="2" t="s">
        <v>320</v>
      </c>
      <c r="G68" s="70"/>
      <c r="H68" s="68">
        <v>182940</v>
      </c>
    </row>
    <row r="69" spans="2:8" ht="12.75">
      <c r="B69" s="2" t="s">
        <v>320</v>
      </c>
      <c r="G69" s="70"/>
      <c r="H69" s="68">
        <v>42028.5</v>
      </c>
    </row>
    <row r="70" spans="2:8" ht="14.25">
      <c r="B70" s="2" t="s">
        <v>321</v>
      </c>
      <c r="C70" s="2"/>
      <c r="D70" s="2"/>
      <c r="E70" s="2"/>
      <c r="F70" s="2"/>
      <c r="G70" s="64">
        <v>900</v>
      </c>
      <c r="H70" s="68">
        <v>837.17</v>
      </c>
    </row>
  </sheetData>
  <sheetProtection/>
  <mergeCells count="8">
    <mergeCell ref="E4:E5"/>
    <mergeCell ref="H4:H5"/>
    <mergeCell ref="A1:H1"/>
    <mergeCell ref="A4:A5"/>
    <mergeCell ref="D4:D5"/>
    <mergeCell ref="C4:C5"/>
    <mergeCell ref="B4:B5"/>
    <mergeCell ref="F4:F5"/>
  </mergeCells>
  <printOptions/>
  <pageMargins left="0.71" right="0.16" top="1" bottom="1" header="0.5" footer="0.5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13"/>
  <sheetViews>
    <sheetView view="pageBreakPreview" zoomScale="95" zoomScaleSheetLayoutView="95" zoomScalePageLayoutView="0" workbookViewId="0" topLeftCell="A1">
      <selection activeCell="F7" sqref="F7:F9"/>
    </sheetView>
  </sheetViews>
  <sheetFormatPr defaultColWidth="9.00390625" defaultRowHeight="12.75"/>
  <cols>
    <col min="1" max="1" width="4.625" style="1" customWidth="1"/>
    <col min="2" max="2" width="38.875" style="1" customWidth="1"/>
    <col min="3" max="3" width="35.625" style="1" customWidth="1"/>
    <col min="4" max="4" width="37.375" style="1" customWidth="1"/>
    <col min="5" max="5" width="14.875" style="1" customWidth="1"/>
    <col min="6" max="6" width="13.75390625" style="1" customWidth="1"/>
    <col min="7" max="7" width="19.125" style="1" customWidth="1"/>
    <col min="8" max="16384" width="9.125" style="1" customWidth="1"/>
  </cols>
  <sheetData>
    <row r="1" spans="1:8" ht="52.5" customHeight="1">
      <c r="A1" s="80" t="s">
        <v>65</v>
      </c>
      <c r="B1" s="80"/>
      <c r="C1" s="80"/>
      <c r="D1" s="80"/>
      <c r="E1" s="80"/>
      <c r="F1" s="80"/>
      <c r="G1" s="80"/>
      <c r="H1" s="80"/>
    </row>
    <row r="4" spans="1:8" ht="140.25" customHeight="1">
      <c r="A4" s="78" t="s">
        <v>29</v>
      </c>
      <c r="B4" s="78" t="s">
        <v>30</v>
      </c>
      <c r="C4" s="78" t="s">
        <v>147</v>
      </c>
      <c r="D4" s="78" t="s">
        <v>145</v>
      </c>
      <c r="E4" s="78" t="s">
        <v>52</v>
      </c>
      <c r="F4" s="78" t="s">
        <v>53</v>
      </c>
      <c r="G4" s="4" t="s">
        <v>58</v>
      </c>
      <c r="H4" s="78" t="s">
        <v>34</v>
      </c>
    </row>
    <row r="5" spans="1:8" ht="25.5">
      <c r="A5" s="79"/>
      <c r="B5" s="79"/>
      <c r="C5" s="79"/>
      <c r="D5" s="79"/>
      <c r="E5" s="79"/>
      <c r="F5" s="79"/>
      <c r="G5" s="6" t="s">
        <v>59</v>
      </c>
      <c r="H5" s="79"/>
    </row>
    <row r="6" spans="1:1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K6" s="1">
        <v>90</v>
      </c>
      <c r="L6" s="15" t="s">
        <v>114</v>
      </c>
      <c r="M6" s="15" t="s">
        <v>115</v>
      </c>
      <c r="N6" s="15" t="s">
        <v>116</v>
      </c>
      <c r="O6" s="15" t="s">
        <v>117</v>
      </c>
      <c r="P6" s="15" t="s">
        <v>118</v>
      </c>
    </row>
    <row r="7" spans="1:16" ht="12.75">
      <c r="A7" s="2">
        <v>1</v>
      </c>
      <c r="B7" s="2" t="s">
        <v>32</v>
      </c>
      <c r="C7" s="2">
        <v>0</v>
      </c>
      <c r="D7" s="2">
        <v>2</v>
      </c>
      <c r="E7" s="82">
        <v>4</v>
      </c>
      <c r="F7" s="82">
        <v>7</v>
      </c>
      <c r="G7" s="5">
        <f>(C7+D7)/(E7+F7)*100</f>
        <v>18.181818181818183</v>
      </c>
      <c r="H7" s="2">
        <f>HLOOKUP(TRUE,K7:P8,2,FALSE)</f>
        <v>0</v>
      </c>
      <c r="K7" s="16" t="b">
        <f>AND(G7&gt;=90)</f>
        <v>0</v>
      </c>
      <c r="L7" s="2" t="b">
        <f>AND(G7&lt;90,G7&gt;=85)</f>
        <v>0</v>
      </c>
      <c r="M7" s="2" t="b">
        <f>AND(G7&lt;85,G7&gt;=75)</f>
        <v>0</v>
      </c>
      <c r="N7" s="2" t="b">
        <f>AND(G7&lt;75,G7&gt;=50)</f>
        <v>0</v>
      </c>
      <c r="O7" s="2" t="b">
        <f>AND(G7&lt;50,G7&gt;=25)</f>
        <v>0</v>
      </c>
      <c r="P7" s="2" t="b">
        <f>AND(G7&lt;25)</f>
        <v>1</v>
      </c>
    </row>
    <row r="8" spans="1:16" ht="12.75">
      <c r="A8" s="2">
        <v>2</v>
      </c>
      <c r="B8" s="2" t="s">
        <v>326</v>
      </c>
      <c r="C8" s="2">
        <v>4</v>
      </c>
      <c r="D8" s="2">
        <v>5</v>
      </c>
      <c r="E8" s="83"/>
      <c r="F8" s="83"/>
      <c r="G8" s="5">
        <f>(C8+D8)/(E7+F7)*100</f>
        <v>81.81818181818183</v>
      </c>
      <c r="H8" s="2">
        <f>HLOOKUP(TRUE,K9:P10,2,FALSE)</f>
        <v>3</v>
      </c>
      <c r="K8" s="2">
        <v>5</v>
      </c>
      <c r="L8" s="2">
        <v>4</v>
      </c>
      <c r="M8" s="2">
        <v>3</v>
      </c>
      <c r="N8" s="2">
        <v>2</v>
      </c>
      <c r="O8" s="2">
        <v>1</v>
      </c>
      <c r="P8" s="2">
        <v>0</v>
      </c>
    </row>
    <row r="9" spans="1:16" ht="12.75">
      <c r="A9" s="2">
        <v>3</v>
      </c>
      <c r="B9" s="2" t="s">
        <v>33</v>
      </c>
      <c r="C9" s="2">
        <v>0</v>
      </c>
      <c r="D9" s="2">
        <v>0</v>
      </c>
      <c r="E9" s="83"/>
      <c r="F9" s="83"/>
      <c r="G9" s="5">
        <f>(C9+D9)/(E7+F7)*100</f>
        <v>0</v>
      </c>
      <c r="H9" s="46" t="s">
        <v>259</v>
      </c>
      <c r="I9" s="1" t="s">
        <v>141</v>
      </c>
      <c r="K9" s="16" t="b">
        <f>AND(G8&gt;=90)</f>
        <v>0</v>
      </c>
      <c r="L9" s="2" t="b">
        <f>AND(G8&lt;90,G8&gt;=85)</f>
        <v>0</v>
      </c>
      <c r="M9" s="2" t="b">
        <f>AND(G8&lt;85,G8&gt;=75)</f>
        <v>1</v>
      </c>
      <c r="N9" s="2" t="b">
        <f>AND(G8&lt;75,G8&gt;=50)</f>
        <v>0</v>
      </c>
      <c r="O9" s="2" t="b">
        <f>AND(G8&lt;50,G8&gt;=25)</f>
        <v>0</v>
      </c>
      <c r="P9" s="2" t="b">
        <f>AND(G8&lt;25)</f>
        <v>0</v>
      </c>
    </row>
    <row r="10" spans="1:16" ht="12.75">
      <c r="A10" s="2"/>
      <c r="B10" s="2"/>
      <c r="C10" s="2"/>
      <c r="D10" s="2"/>
      <c r="E10" s="71"/>
      <c r="F10" s="71"/>
      <c r="G10" s="2"/>
      <c r="H10" s="46"/>
      <c r="K10" s="2">
        <v>5</v>
      </c>
      <c r="L10" s="2">
        <v>4</v>
      </c>
      <c r="M10" s="2">
        <v>3</v>
      </c>
      <c r="N10" s="2">
        <v>2</v>
      </c>
      <c r="O10" s="2">
        <v>1</v>
      </c>
      <c r="P10" s="2">
        <v>0</v>
      </c>
    </row>
    <row r="11" spans="11:16" ht="12.75">
      <c r="K11" s="16" t="b">
        <f>AND(G9&gt;=90)</f>
        <v>0</v>
      </c>
      <c r="L11" s="2" t="b">
        <f>AND(G9&lt;90,G9&gt;=85)</f>
        <v>0</v>
      </c>
      <c r="M11" s="2" t="b">
        <f>AND(G9&lt;85,G9&gt;=75)</f>
        <v>0</v>
      </c>
      <c r="N11" s="2" t="b">
        <f>AND(G9&lt;75,G9&gt;=50)</f>
        <v>0</v>
      </c>
      <c r="O11" s="2" t="b">
        <f>AND(G9&lt;50,G9&gt;=25)</f>
        <v>0</v>
      </c>
      <c r="P11" s="2" t="b">
        <f>AND(G9&lt;25)</f>
        <v>1</v>
      </c>
    </row>
    <row r="12" spans="11:16" ht="12.75">
      <c r="K12" s="2">
        <v>5</v>
      </c>
      <c r="L12" s="2">
        <v>4</v>
      </c>
      <c r="M12" s="2">
        <v>3</v>
      </c>
      <c r="N12" s="2">
        <v>2</v>
      </c>
      <c r="O12" s="2">
        <v>1</v>
      </c>
      <c r="P12" s="2">
        <v>0</v>
      </c>
    </row>
    <row r="13" ht="15.75">
      <c r="B13" s="7"/>
    </row>
  </sheetData>
  <sheetProtection/>
  <mergeCells count="10">
    <mergeCell ref="E7:E9"/>
    <mergeCell ref="F7:F9"/>
    <mergeCell ref="A1:H1"/>
    <mergeCell ref="A4:A5"/>
    <mergeCell ref="D4:D5"/>
    <mergeCell ref="C4:C5"/>
    <mergeCell ref="B4:B5"/>
    <mergeCell ref="F4:F5"/>
    <mergeCell ref="E4:E5"/>
    <mergeCell ref="H4:H5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2022-06-21T10:46:40Z</cp:lastPrinted>
  <dcterms:created xsi:type="dcterms:W3CDTF">2012-07-27T04:56:52Z</dcterms:created>
  <dcterms:modified xsi:type="dcterms:W3CDTF">2023-03-28T07:34:55Z</dcterms:modified>
  <cp:category/>
  <cp:version/>
  <cp:contentType/>
  <cp:contentStatus/>
</cp:coreProperties>
</file>